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Mike Croft\Dropbox (Coastal Solar)\Coastal Solar Team Folder\!_Coastal Solar Proposals\2019\MIKE CROFT\"/>
    </mc:Choice>
  </mc:AlternateContent>
  <xr:revisionPtr revIDLastSave="0" documentId="13_ncr:1_{559883F0-888A-4F4E-B11F-EF05460EA93C}" xr6:coauthVersionLast="40" xr6:coauthVersionMax="40" xr10:uidLastSave="{00000000-0000-0000-0000-000000000000}"/>
  <bookViews>
    <workbookView xWindow="0" yWindow="0" windowWidth="8280" windowHeight="14715" xr2:uid="{00000000-000D-0000-FFFF-FFFF00000000}"/>
  </bookViews>
  <sheets>
    <sheet name="1. ANNUAL USAGE " sheetId="16" r:id="rId1"/>
    <sheet name="2. System Sizing" sheetId="1" r:id="rId2"/>
    <sheet name="3. Pre-Post Solar Costs" sheetId="21" r:id="rId3"/>
    <sheet name="4. SC Quote" sheetId="6" r:id="rId4"/>
    <sheet name="5. SC Resi ROI" sheetId="23" r:id="rId5"/>
    <sheet name="6. SC Commercial ROI" sheetId="10" r:id="rId6"/>
    <sheet name="7. SC Section 179 ROI" sheetId="26" r:id="rId7"/>
    <sheet name="Commerical Solar Savings" sheetId="27" r:id="rId8"/>
    <sheet name="Residential Solar Savings " sheetId="29" r:id="rId9"/>
    <sheet name="8. SC Commercial ROI with Grant" sheetId="22" r:id="rId10"/>
    <sheet name="12.15 YEAR COMMERICAL" sheetId="30" r:id="rId11"/>
  </sheets>
  <externalReferences>
    <externalReference r:id="rId12"/>
  </externalReferences>
  <definedNames>
    <definedName name="_xlnm.Print_Area" localSheetId="0">'1. ANNUAL USAGE '!$A$1:$K$45</definedName>
    <definedName name="_xlnm.Print_Area" localSheetId="10">'12.15 YEAR COMMERICAL'!$A$2:$K$46</definedName>
    <definedName name="_xlnm.Print_Area" localSheetId="1">'2. System Sizing'!$A$1:$P$15</definedName>
    <definedName name="_xlnm.Print_Area" localSheetId="2">'3. Pre-Post Solar Costs'!$A$1:$H$41</definedName>
    <definedName name="_xlnm.Print_Area" localSheetId="3">'4. SC Quote'!$A$1:$I$44</definedName>
    <definedName name="_xlnm.Print_Area" localSheetId="4">'5. SC Resi ROI'!$A$1:$F$54</definedName>
    <definedName name="_xlnm.Print_Area" localSheetId="5">'6. SC Commercial ROI'!$B$2:$K$43</definedName>
    <definedName name="_xlnm.Print_Area" localSheetId="6">'7. SC Section 179 ROI'!$B$1:$AD$44</definedName>
    <definedName name="_xlnm.Print_Area" localSheetId="9">'8. SC Commercial ROI with Grant'!$A$1:$K$42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30" l="1"/>
  <c r="F4" i="21"/>
  <c r="G4" i="21" s="1"/>
  <c r="F5" i="21"/>
  <c r="F6" i="21"/>
  <c r="F7" i="21"/>
  <c r="F8" i="21"/>
  <c r="F9" i="21"/>
  <c r="G9" i="21" s="1"/>
  <c r="F10" i="21"/>
  <c r="F11" i="21"/>
  <c r="G11" i="21" s="1"/>
  <c r="F12" i="21"/>
  <c r="F13" i="21"/>
  <c r="F14" i="21"/>
  <c r="G14" i="21" s="1"/>
  <c r="F3" i="21"/>
  <c r="G8" i="21"/>
  <c r="D4" i="21"/>
  <c r="H4" i="21" s="1"/>
  <c r="D5" i="21"/>
  <c r="D6" i="21"/>
  <c r="D7" i="21"/>
  <c r="D8" i="21"/>
  <c r="D9" i="21"/>
  <c r="D10" i="21"/>
  <c r="D11" i="21"/>
  <c r="D12" i="21"/>
  <c r="D13" i="21"/>
  <c r="D14" i="21"/>
  <c r="D3" i="21"/>
  <c r="C4" i="21"/>
  <c r="C5" i="21"/>
  <c r="C6" i="21"/>
  <c r="C7" i="21"/>
  <c r="C8" i="21"/>
  <c r="C9" i="21"/>
  <c r="H9" i="21" s="1"/>
  <c r="C10" i="21"/>
  <c r="H10" i="21" s="1"/>
  <c r="C11" i="21"/>
  <c r="C12" i="21"/>
  <c r="C13" i="21"/>
  <c r="C14" i="21"/>
  <c r="H14" i="21" s="1"/>
  <c r="C3" i="21"/>
  <c r="E15" i="21"/>
  <c r="E16" i="21" s="1"/>
  <c r="H11" i="21"/>
  <c r="H6" i="21"/>
  <c r="D41" i="30"/>
  <c r="G30" i="30"/>
  <c r="G29" i="30"/>
  <c r="G28" i="30"/>
  <c r="G27" i="30"/>
  <c r="G26" i="30"/>
  <c r="G25" i="30"/>
  <c r="G24" i="30"/>
  <c r="G23" i="30"/>
  <c r="G22" i="30"/>
  <c r="G21" i="30"/>
  <c r="G20" i="30"/>
  <c r="G19" i="30"/>
  <c r="G18" i="30"/>
  <c r="G17" i="30"/>
  <c r="G16" i="30"/>
  <c r="G15" i="30"/>
  <c r="D14" i="30"/>
  <c r="C4" i="30"/>
  <c r="G43" i="30" l="1"/>
  <c r="F15" i="21"/>
  <c r="F16" i="21" s="1"/>
  <c r="G7" i="21"/>
  <c r="G10" i="21"/>
  <c r="H13" i="21"/>
  <c r="H12" i="21"/>
  <c r="H5" i="21"/>
  <c r="C15" i="21"/>
  <c r="C16" i="21" s="1"/>
  <c r="G3" i="21"/>
  <c r="H7" i="21"/>
  <c r="G12" i="21"/>
  <c r="D15" i="21"/>
  <c r="D16" i="21" s="1"/>
  <c r="G5" i="21"/>
  <c r="H3" i="21"/>
  <c r="H8" i="21"/>
  <c r="G13" i="21"/>
  <c r="G6" i="21"/>
  <c r="F16" i="30"/>
  <c r="H16" i="30" l="1"/>
  <c r="F17" i="30"/>
  <c r="G15" i="21"/>
  <c r="G16" i="21" s="1"/>
  <c r="H16" i="21"/>
  <c r="B8" i="1"/>
  <c r="H17" i="30" l="1"/>
  <c r="F18" i="30"/>
  <c r="B6" i="23"/>
  <c r="F19" i="30" l="1"/>
  <c r="H18" i="30"/>
  <c r="H19" i="30" l="1"/>
  <c r="F20" i="30"/>
  <c r="A19" i="29"/>
  <c r="D2" i="29"/>
  <c r="G19" i="27"/>
  <c r="A19" i="27"/>
  <c r="D2" i="27"/>
  <c r="H20" i="30" l="1"/>
  <c r="F21" i="30"/>
  <c r="G19" i="29"/>
  <c r="H21" i="30" l="1"/>
  <c r="F22" i="30"/>
  <c r="C16" i="1"/>
  <c r="F23" i="30" l="1"/>
  <c r="H22" i="30"/>
  <c r="D5" i="26"/>
  <c r="I5" i="26" s="1"/>
  <c r="C7" i="26"/>
  <c r="G2" i="26"/>
  <c r="I8" i="26" l="1"/>
  <c r="J8" i="26" s="1"/>
  <c r="H23" i="30"/>
  <c r="F24" i="30"/>
  <c r="D17" i="26"/>
  <c r="I10" i="26"/>
  <c r="I7" i="26"/>
  <c r="J7" i="26" s="1"/>
  <c r="H24" i="30" l="1"/>
  <c r="F25" i="30"/>
  <c r="I11" i="26"/>
  <c r="G51" i="26"/>
  <c r="F26" i="30" l="1"/>
  <c r="H25" i="30"/>
  <c r="J11" i="26"/>
  <c r="I12" i="26"/>
  <c r="I13" i="26" s="1"/>
  <c r="J13" i="26" s="1"/>
  <c r="H26" i="30" l="1"/>
  <c r="K26" i="30" s="1"/>
  <c r="P25" i="30" s="1"/>
  <c r="F27" i="30"/>
  <c r="G25" i="27"/>
  <c r="G17" i="26"/>
  <c r="F28" i="30" l="1"/>
  <c r="H27" i="30"/>
  <c r="K27" i="30" s="1"/>
  <c r="I20" i="26"/>
  <c r="J20" i="26" s="1"/>
  <c r="I22" i="26"/>
  <c r="J22" i="26" s="1"/>
  <c r="I18" i="26"/>
  <c r="J18" i="26" s="1"/>
  <c r="I21" i="26"/>
  <c r="J21" i="26" s="1"/>
  <c r="I17" i="26"/>
  <c r="J17" i="26" s="1"/>
  <c r="I19" i="26"/>
  <c r="J19" i="26" s="1"/>
  <c r="P26" i="30" l="1"/>
  <c r="F29" i="30"/>
  <c r="H28" i="30"/>
  <c r="K28" i="30" s="1"/>
  <c r="P27" i="30" s="1"/>
  <c r="G18" i="26"/>
  <c r="G19" i="26" s="1"/>
  <c r="G20" i="26" s="1"/>
  <c r="G21" i="26" s="1"/>
  <c r="G22" i="26" s="1"/>
  <c r="J25" i="26"/>
  <c r="H29" i="30" l="1"/>
  <c r="K29" i="30" s="1"/>
  <c r="P28" i="30" s="1"/>
  <c r="F30" i="30"/>
  <c r="F31" i="30" l="1"/>
  <c r="H30" i="30"/>
  <c r="K30" i="30" s="1"/>
  <c r="P29" i="30" s="1"/>
  <c r="H28" i="21"/>
  <c r="H33" i="21"/>
  <c r="B7" i="6"/>
  <c r="B4" i="6"/>
  <c r="B3" i="6"/>
  <c r="B2" i="6"/>
  <c r="F32" i="30" l="1"/>
  <c r="H31" i="30"/>
  <c r="K31" i="30" s="1"/>
  <c r="I29" i="6"/>
  <c r="P30" i="30" l="1"/>
  <c r="F33" i="30"/>
  <c r="H32" i="30"/>
  <c r="K32" i="30" s="1"/>
  <c r="P31" i="30" s="1"/>
  <c r="H6" i="22"/>
  <c r="H8" i="10"/>
  <c r="F34" i="30" l="1"/>
  <c r="H33" i="30"/>
  <c r="K33" i="30" s="1"/>
  <c r="H4" i="10"/>
  <c r="A2" i="23"/>
  <c r="B1" i="6"/>
  <c r="P32" i="30" l="1"/>
  <c r="H34" i="30"/>
  <c r="K34" i="30" s="1"/>
  <c r="P33" i="30" s="1"/>
  <c r="F35" i="30"/>
  <c r="G3" i="22"/>
  <c r="F36" i="30" l="1"/>
  <c r="H35" i="30"/>
  <c r="K35" i="30" s="1"/>
  <c r="P34" i="30" s="1"/>
  <c r="H36" i="30" l="1"/>
  <c r="K36" i="30" s="1"/>
  <c r="P35" i="30" s="1"/>
  <c r="F37" i="30"/>
  <c r="F38" i="30" l="1"/>
  <c r="H37" i="30"/>
  <c r="K37" i="30" s="1"/>
  <c r="P36" i="30" s="1"/>
  <c r="G21" i="21"/>
  <c r="L17" i="26"/>
  <c r="F39" i="30" l="1"/>
  <c r="H38" i="30"/>
  <c r="K38" i="30" s="1"/>
  <c r="P37" i="30" s="1"/>
  <c r="L18" i="26"/>
  <c r="H21" i="21"/>
  <c r="K14" i="22"/>
  <c r="G8" i="23"/>
  <c r="K15" i="10"/>
  <c r="F40" i="30" l="1"/>
  <c r="H39" i="30"/>
  <c r="K39" i="30" s="1"/>
  <c r="P38" i="30" s="1"/>
  <c r="G9" i="23"/>
  <c r="K16" i="10"/>
  <c r="L19" i="26"/>
  <c r="K15" i="22"/>
  <c r="F43" i="30" l="1"/>
  <c r="H40" i="30"/>
  <c r="K17" i="10"/>
  <c r="K18" i="10" s="1"/>
  <c r="K19" i="10" s="1"/>
  <c r="K20" i="10" s="1"/>
  <c r="K21" i="10" s="1"/>
  <c r="K22" i="10" s="1"/>
  <c r="K23" i="10" s="1"/>
  <c r="K24" i="10" s="1"/>
  <c r="K25" i="10" s="1"/>
  <c r="K26" i="10" s="1"/>
  <c r="K27" i="10" s="1"/>
  <c r="K28" i="10" s="1"/>
  <c r="K29" i="10" s="1"/>
  <c r="K30" i="10" s="1"/>
  <c r="K31" i="10" s="1"/>
  <c r="K32" i="10" s="1"/>
  <c r="K33" i="10" s="1"/>
  <c r="K34" i="10" s="1"/>
  <c r="K35" i="10" s="1"/>
  <c r="K36" i="10" s="1"/>
  <c r="K37" i="10" s="1"/>
  <c r="K38" i="10" s="1"/>
  <c r="K39" i="10" s="1"/>
  <c r="G10" i="23"/>
  <c r="K16" i="22"/>
  <c r="L20" i="26"/>
  <c r="K40" i="30" l="1"/>
  <c r="H43" i="30"/>
  <c r="G11" i="23"/>
  <c r="G12" i="23" s="1"/>
  <c r="K17" i="22"/>
  <c r="L21" i="26"/>
  <c r="P39" i="30" l="1"/>
  <c r="K18" i="22"/>
  <c r="G13" i="23"/>
  <c r="L22" i="26"/>
  <c r="G14" i="23" l="1"/>
  <c r="K19" i="22"/>
  <c r="L23" i="26"/>
  <c r="K20" i="22" l="1"/>
  <c r="G15" i="23"/>
  <c r="L24" i="26"/>
  <c r="G16" i="23" l="1"/>
  <c r="K21" i="22"/>
  <c r="L25" i="26"/>
  <c r="F21" i="16"/>
  <c r="F26" i="16" s="1"/>
  <c r="E21" i="16"/>
  <c r="D6" i="29" l="1"/>
  <c r="D8" i="27"/>
  <c r="D6" i="27"/>
  <c r="D8" i="29"/>
  <c r="K22" i="22"/>
  <c r="G17" i="23"/>
  <c r="L26" i="26"/>
  <c r="D26" i="16"/>
  <c r="C24" i="16"/>
  <c r="B3" i="1"/>
  <c r="B2" i="1"/>
  <c r="G28" i="16"/>
  <c r="B4" i="1" l="1"/>
  <c r="B5" i="1" s="1"/>
  <c r="B6" i="1"/>
  <c r="G18" i="23"/>
  <c r="G31" i="29"/>
  <c r="B31" i="29"/>
  <c r="G39" i="29"/>
  <c r="K23" i="22"/>
  <c r="G32" i="27"/>
  <c r="B32" i="27"/>
  <c r="G40" i="27"/>
  <c r="D10" i="27"/>
  <c r="P16" i="16"/>
  <c r="P17" i="16" s="1"/>
  <c r="P18" i="16" s="1"/>
  <c r="P19" i="16" s="1"/>
  <c r="P20" i="16" s="1"/>
  <c r="P21" i="16" s="1"/>
  <c r="P22" i="16" s="1"/>
  <c r="P23" i="16" s="1"/>
  <c r="P24" i="16" s="1"/>
  <c r="P25" i="16" s="1"/>
  <c r="P26" i="16" s="1"/>
  <c r="P27" i="16" s="1"/>
  <c r="P28" i="16" s="1"/>
  <c r="P29" i="16" s="1"/>
  <c r="P30" i="16" s="1"/>
  <c r="P31" i="16" s="1"/>
  <c r="P32" i="16" s="1"/>
  <c r="P33" i="16" s="1"/>
  <c r="P34" i="16" s="1"/>
  <c r="P35" i="16" s="1"/>
  <c r="P36" i="16" s="1"/>
  <c r="P37" i="16" s="1"/>
  <c r="P38" i="16" s="1"/>
  <c r="P39" i="16" s="1"/>
  <c r="P40" i="16" s="1"/>
  <c r="D10" i="29"/>
  <c r="D19" i="29"/>
  <c r="B33" i="29" s="1"/>
  <c r="D19" i="27"/>
  <c r="B34" i="27" s="1"/>
  <c r="L27" i="26"/>
  <c r="G7" i="22"/>
  <c r="G9" i="10"/>
  <c r="B35" i="29" l="1"/>
  <c r="B39" i="29" s="1"/>
  <c r="G33" i="29" s="1"/>
  <c r="B36" i="27"/>
  <c r="B40" i="27" s="1"/>
  <c r="G34" i="27" s="1"/>
  <c r="K24" i="22"/>
  <c r="G19" i="23"/>
  <c r="D19" i="23"/>
  <c r="I20" i="16"/>
  <c r="L28" i="26"/>
  <c r="E27" i="26"/>
  <c r="G62" i="26" s="1"/>
  <c r="G35" i="29" l="1"/>
  <c r="G36" i="27"/>
  <c r="G20" i="23"/>
  <c r="D20" i="23"/>
  <c r="K25" i="22"/>
  <c r="E24" i="22"/>
  <c r="N22" i="22" s="1"/>
  <c r="P41" i="16"/>
  <c r="P42" i="16" s="1"/>
  <c r="L29" i="26"/>
  <c r="E28" i="26"/>
  <c r="G63" i="26" s="1"/>
  <c r="I19" i="23"/>
  <c r="E25" i="22" l="1"/>
  <c r="N23" i="22" s="1"/>
  <c r="K26" i="22"/>
  <c r="G21" i="23"/>
  <c r="D21" i="23"/>
  <c r="I24" i="16"/>
  <c r="D12" i="29"/>
  <c r="D12" i="27"/>
  <c r="L30" i="26"/>
  <c r="E29" i="26"/>
  <c r="G64" i="26" s="1"/>
  <c r="I20" i="23"/>
  <c r="F4" i="6"/>
  <c r="F3" i="6"/>
  <c r="F2" i="6"/>
  <c r="G22" i="23" l="1"/>
  <c r="D22" i="23"/>
  <c r="E26" i="22"/>
  <c r="N24" i="22" s="1"/>
  <c r="K27" i="22"/>
  <c r="G40" i="29"/>
  <c r="B40" i="29"/>
  <c r="D40" i="29" s="1"/>
  <c r="D15" i="29"/>
  <c r="I40" i="29"/>
  <c r="I41" i="27"/>
  <c r="F43" i="27" s="1"/>
  <c r="B41" i="27"/>
  <c r="D41" i="27" s="1"/>
  <c r="G41" i="27"/>
  <c r="D15" i="27"/>
  <c r="E30" i="26"/>
  <c r="G65" i="26" s="1"/>
  <c r="L31" i="26"/>
  <c r="B9" i="1"/>
  <c r="I21" i="23"/>
  <c r="E27" i="22" l="1"/>
  <c r="N25" i="22" s="1"/>
  <c r="K28" i="22"/>
  <c r="G23" i="23"/>
  <c r="D23" i="23"/>
  <c r="F42" i="29"/>
  <c r="C45" i="29" s="1"/>
  <c r="G21" i="27"/>
  <c r="G21" i="29"/>
  <c r="C46" i="27"/>
  <c r="L32" i="26"/>
  <c r="E31" i="26"/>
  <c r="G66" i="26" s="1"/>
  <c r="G8" i="10"/>
  <c r="G6" i="22"/>
  <c r="B13" i="1"/>
  <c r="I9" i="22"/>
  <c r="I10" i="10"/>
  <c r="I22" i="23"/>
  <c r="I21" i="6" l="1"/>
  <c r="I23" i="6" s="1"/>
  <c r="C8" i="30"/>
  <c r="G24" i="23"/>
  <c r="D24" i="23"/>
  <c r="E28" i="22"/>
  <c r="N26" i="22" s="1"/>
  <c r="K29" i="22"/>
  <c r="K8" i="23"/>
  <c r="R12" i="22"/>
  <c r="S12" i="10"/>
  <c r="O52" i="26"/>
  <c r="G23" i="27"/>
  <c r="G27" i="27" s="1"/>
  <c r="B38" i="27" s="1"/>
  <c r="A43" i="27" s="1"/>
  <c r="C48" i="27" s="1"/>
  <c r="C50" i="27" s="1"/>
  <c r="C52" i="27" s="1"/>
  <c r="C54" i="27" s="1"/>
  <c r="G23" i="29"/>
  <c r="G26" i="29" s="1"/>
  <c r="B37" i="29" s="1"/>
  <c r="A42" i="29" s="1"/>
  <c r="C47" i="29" s="1"/>
  <c r="C49" i="29" s="1"/>
  <c r="C51" i="29" s="1"/>
  <c r="C53" i="29" s="1"/>
  <c r="I22" i="6"/>
  <c r="L33" i="26"/>
  <c r="E32" i="26"/>
  <c r="G67" i="26" s="1"/>
  <c r="B14" i="1"/>
  <c r="B15" i="1" s="1"/>
  <c r="C7" i="10"/>
  <c r="I23" i="23"/>
  <c r="R14" i="30" l="1"/>
  <c r="I7" i="30"/>
  <c r="D58" i="30" s="1"/>
  <c r="I6" i="30"/>
  <c r="D16" i="30"/>
  <c r="K30" i="22"/>
  <c r="E29" i="22"/>
  <c r="N27" i="22" s="1"/>
  <c r="R13" i="22"/>
  <c r="S13" i="22" s="1"/>
  <c r="G25" i="23"/>
  <c r="D25" i="23"/>
  <c r="S13" i="10"/>
  <c r="T13" i="10" s="1"/>
  <c r="O53" i="26"/>
  <c r="P53" i="26" s="1"/>
  <c r="E17" i="26" s="1"/>
  <c r="I24" i="6"/>
  <c r="I12" i="10"/>
  <c r="F15" i="10"/>
  <c r="D15" i="10"/>
  <c r="L34" i="26"/>
  <c r="E33" i="26"/>
  <c r="G68" i="26" s="1"/>
  <c r="C6" i="22"/>
  <c r="I27" i="6"/>
  <c r="I24" i="23"/>
  <c r="D59" i="30" l="1"/>
  <c r="E59" i="30"/>
  <c r="D44" i="30"/>
  <c r="P14" i="30"/>
  <c r="J16" i="30"/>
  <c r="T15" i="30"/>
  <c r="U15" i="30" s="1"/>
  <c r="T17" i="30"/>
  <c r="U17" i="30" s="1"/>
  <c r="K19" i="30" s="1"/>
  <c r="P18" i="30" s="1"/>
  <c r="T14" i="30"/>
  <c r="U14" i="30" s="1"/>
  <c r="U20" i="30" s="1"/>
  <c r="T18" i="30"/>
  <c r="U18" i="30" s="1"/>
  <c r="I8" i="30"/>
  <c r="C16" i="30" s="1"/>
  <c r="T16" i="30"/>
  <c r="U16" i="30" s="1"/>
  <c r="T19" i="30"/>
  <c r="U19" i="30" s="1"/>
  <c r="R14" i="22"/>
  <c r="S14" i="22" s="1"/>
  <c r="G26" i="23"/>
  <c r="D26" i="23"/>
  <c r="E30" i="22"/>
  <c r="N28" i="22" s="1"/>
  <c r="K31" i="22"/>
  <c r="D18" i="26"/>
  <c r="F17" i="26"/>
  <c r="G52" i="26"/>
  <c r="O54" i="26"/>
  <c r="P54" i="26" s="1"/>
  <c r="S14" i="10"/>
  <c r="T14" i="10" s="1"/>
  <c r="K9" i="23"/>
  <c r="L9" i="23" s="1"/>
  <c r="E34" i="26"/>
  <c r="G69" i="26" s="1"/>
  <c r="L35" i="26"/>
  <c r="H17" i="10"/>
  <c r="I17" i="10" s="1"/>
  <c r="I11" i="22"/>
  <c r="I28" i="6"/>
  <c r="I30" i="6" s="1"/>
  <c r="I8" i="22"/>
  <c r="F14" i="22" s="1"/>
  <c r="D14" i="22"/>
  <c r="N11" i="22"/>
  <c r="H18" i="10"/>
  <c r="I18" i="10" s="1"/>
  <c r="H19" i="10"/>
  <c r="I19" i="10" s="1"/>
  <c r="H15" i="10"/>
  <c r="I15" i="10" s="1"/>
  <c r="E15" i="10" s="1"/>
  <c r="N14" i="10"/>
  <c r="H20" i="10"/>
  <c r="I20" i="10" s="1"/>
  <c r="I25" i="23"/>
  <c r="E16" i="30" l="1"/>
  <c r="E44" i="30" s="1"/>
  <c r="C44" i="30"/>
  <c r="R15" i="30"/>
  <c r="R16" i="30" s="1"/>
  <c r="R17" i="30" s="1"/>
  <c r="R18" i="30" s="1"/>
  <c r="R19" i="30" s="1"/>
  <c r="D60" i="30"/>
  <c r="E60" i="30"/>
  <c r="K17" i="30" s="1"/>
  <c r="P16" i="30" s="1"/>
  <c r="K16" i="30"/>
  <c r="P15" i="30" s="1"/>
  <c r="G27" i="23"/>
  <c r="D27" i="23"/>
  <c r="K32" i="22"/>
  <c r="E31" i="22"/>
  <c r="N29" i="22" s="1"/>
  <c r="D9" i="23"/>
  <c r="I9" i="23" s="1"/>
  <c r="R15" i="22"/>
  <c r="S15" i="22" s="1"/>
  <c r="E18" i="26"/>
  <c r="G53" i="26" s="1"/>
  <c r="S15" i="10"/>
  <c r="T15" i="10" s="1"/>
  <c r="O55" i="26"/>
  <c r="P55" i="26" s="1"/>
  <c r="K10" i="23"/>
  <c r="L10" i="23" s="1"/>
  <c r="H16" i="10"/>
  <c r="I16" i="10" s="1"/>
  <c r="E16" i="10" s="1"/>
  <c r="L36" i="26"/>
  <c r="E35" i="26"/>
  <c r="G70" i="26" s="1"/>
  <c r="F16" i="10"/>
  <c r="C9" i="23"/>
  <c r="I8" i="23" s="1"/>
  <c r="H14" i="22"/>
  <c r="I14" i="22" s="1"/>
  <c r="E14" i="22" s="1"/>
  <c r="D2" i="23"/>
  <c r="H19" i="22"/>
  <c r="I19" i="22" s="1"/>
  <c r="H18" i="22"/>
  <c r="I18" i="22" s="1"/>
  <c r="H17" i="22"/>
  <c r="I17" i="22" s="1"/>
  <c r="H16" i="22"/>
  <c r="I16" i="22" s="1"/>
  <c r="H15" i="22"/>
  <c r="I15" i="22" s="1"/>
  <c r="E15" i="22" s="1"/>
  <c r="I26" i="23"/>
  <c r="E25" i="10"/>
  <c r="N25" i="10" s="1"/>
  <c r="J17" i="30" l="1"/>
  <c r="J18" i="30" s="1"/>
  <c r="D61" i="30"/>
  <c r="E61" i="30"/>
  <c r="K18" i="30" s="1"/>
  <c r="P17" i="30" s="1"/>
  <c r="D19" i="26"/>
  <c r="D10" i="23"/>
  <c r="I10" i="23" s="1"/>
  <c r="E19" i="26"/>
  <c r="G54" i="26" s="1"/>
  <c r="R16" i="22"/>
  <c r="S16" i="22" s="1"/>
  <c r="E17" i="22" s="1"/>
  <c r="N15" i="22" s="1"/>
  <c r="E17" i="10"/>
  <c r="N17" i="10" s="1"/>
  <c r="K33" i="22"/>
  <c r="E32" i="22"/>
  <c r="N30" i="22" s="1"/>
  <c r="E16" i="22"/>
  <c r="N14" i="22" s="1"/>
  <c r="G28" i="23"/>
  <c r="D28" i="23"/>
  <c r="F17" i="10"/>
  <c r="F18" i="10" s="1"/>
  <c r="F19" i="10" s="1"/>
  <c r="F20" i="10" s="1"/>
  <c r="O56" i="26"/>
  <c r="P56" i="26" s="1"/>
  <c r="S16" i="10"/>
  <c r="N16" i="10"/>
  <c r="K11" i="23"/>
  <c r="L11" i="23" s="1"/>
  <c r="L37" i="26"/>
  <c r="E36" i="26"/>
  <c r="G71" i="26" s="1"/>
  <c r="C10" i="23"/>
  <c r="F15" i="22"/>
  <c r="F16" i="22" s="1"/>
  <c r="F17" i="22" s="1"/>
  <c r="F18" i="22" s="1"/>
  <c r="F19" i="22" s="1"/>
  <c r="N15" i="10"/>
  <c r="D16" i="10"/>
  <c r="N13" i="22"/>
  <c r="D15" i="22"/>
  <c r="N12" i="22"/>
  <c r="I27" i="23"/>
  <c r="E26" i="10"/>
  <c r="N26" i="10" s="1"/>
  <c r="D62" i="30" l="1"/>
  <c r="E62" i="30"/>
  <c r="K20" i="30" s="1"/>
  <c r="P19" i="30" s="1"/>
  <c r="J19" i="30"/>
  <c r="J20" i="30" s="1"/>
  <c r="J21" i="30" s="1"/>
  <c r="D20" i="26"/>
  <c r="E20" i="26"/>
  <c r="G55" i="26" s="1"/>
  <c r="K34" i="22"/>
  <c r="E33" i="22"/>
  <c r="N31" i="22" s="1"/>
  <c r="D11" i="23"/>
  <c r="I11" i="23" s="1"/>
  <c r="R17" i="22"/>
  <c r="S17" i="22" s="1"/>
  <c r="E18" i="22" s="1"/>
  <c r="N16" i="22" s="1"/>
  <c r="C11" i="23"/>
  <c r="G29" i="23"/>
  <c r="D29" i="23"/>
  <c r="D17" i="10"/>
  <c r="D18" i="10" s="1"/>
  <c r="S17" i="10"/>
  <c r="S18" i="10" s="1"/>
  <c r="O57" i="26"/>
  <c r="P57" i="26" s="1"/>
  <c r="T16" i="10"/>
  <c r="K12" i="23"/>
  <c r="L12" i="23" s="1"/>
  <c r="D12" i="23" s="1"/>
  <c r="I12" i="23" s="1"/>
  <c r="L38" i="26"/>
  <c r="E37" i="26"/>
  <c r="G72" i="26" s="1"/>
  <c r="D16" i="22"/>
  <c r="D17" i="22" s="1"/>
  <c r="D18" i="22" s="1"/>
  <c r="I28" i="23"/>
  <c r="E27" i="10"/>
  <c r="N27" i="10" s="1"/>
  <c r="D63" i="30" l="1"/>
  <c r="D19" i="22"/>
  <c r="D21" i="26"/>
  <c r="C12" i="23"/>
  <c r="C13" i="23" s="1"/>
  <c r="E34" i="22"/>
  <c r="N32" i="22" s="1"/>
  <c r="K35" i="22"/>
  <c r="R18" i="22"/>
  <c r="E18" i="10"/>
  <c r="N18" i="10" s="1"/>
  <c r="G30" i="23"/>
  <c r="D30" i="23"/>
  <c r="E21" i="26"/>
  <c r="G56" i="26" s="1"/>
  <c r="T17" i="10"/>
  <c r="O58" i="26"/>
  <c r="P58" i="26" s="1"/>
  <c r="T18" i="10"/>
  <c r="S19" i="10"/>
  <c r="T19" i="10" s="1"/>
  <c r="K13" i="23"/>
  <c r="L13" i="23" s="1"/>
  <c r="L39" i="26"/>
  <c r="E38" i="26"/>
  <c r="G73" i="26" s="1"/>
  <c r="I29" i="23"/>
  <c r="E28" i="10"/>
  <c r="N28" i="10" s="1"/>
  <c r="D64" i="30" l="1"/>
  <c r="E64" i="30"/>
  <c r="K22" i="30" s="1"/>
  <c r="P21" i="30" s="1"/>
  <c r="E63" i="30"/>
  <c r="K21" i="30" s="1"/>
  <c r="D19" i="10"/>
  <c r="E21" i="10"/>
  <c r="N21" i="10" s="1"/>
  <c r="R19" i="22"/>
  <c r="S19" i="22" s="1"/>
  <c r="E20" i="22" s="1"/>
  <c r="N18" i="22" s="1"/>
  <c r="E20" i="10"/>
  <c r="N20" i="10" s="1"/>
  <c r="D22" i="26"/>
  <c r="E22" i="26"/>
  <c r="G57" i="26" s="1"/>
  <c r="E19" i="10"/>
  <c r="N19" i="10" s="1"/>
  <c r="E35" i="22"/>
  <c r="N33" i="22" s="1"/>
  <c r="K36" i="22"/>
  <c r="G31" i="23"/>
  <c r="D31" i="23"/>
  <c r="D13" i="23"/>
  <c r="I13" i="23" s="1"/>
  <c r="S18" i="22"/>
  <c r="E19" i="22" s="1"/>
  <c r="S20" i="10"/>
  <c r="T20" i="10" s="1"/>
  <c r="E22" i="10" s="1"/>
  <c r="N22" i="10" s="1"/>
  <c r="O59" i="26"/>
  <c r="P59" i="26" s="1"/>
  <c r="K14" i="23"/>
  <c r="E39" i="26"/>
  <c r="G74" i="26" s="1"/>
  <c r="L40" i="26"/>
  <c r="I30" i="23"/>
  <c r="E29" i="10"/>
  <c r="N29" i="10" s="1"/>
  <c r="P20" i="30" l="1"/>
  <c r="J22" i="30"/>
  <c r="J23" i="30" s="1"/>
  <c r="D65" i="30"/>
  <c r="E65" i="30"/>
  <c r="K23" i="30" s="1"/>
  <c r="P22" i="30" s="1"/>
  <c r="D23" i="26"/>
  <c r="E23" i="26"/>
  <c r="G58" i="26" s="1"/>
  <c r="G32" i="23"/>
  <c r="D33" i="23" s="1"/>
  <c r="D32" i="23"/>
  <c r="D20" i="10"/>
  <c r="D21" i="10" s="1"/>
  <c r="D22" i="10" s="1"/>
  <c r="D23" i="10" s="1"/>
  <c r="N17" i="22"/>
  <c r="D20" i="22"/>
  <c r="D21" i="22" s="1"/>
  <c r="R20" i="22"/>
  <c r="C14" i="23"/>
  <c r="E36" i="22"/>
  <c r="N34" i="22" s="1"/>
  <c r="K37" i="22"/>
  <c r="O60" i="26"/>
  <c r="P60" i="26" s="1"/>
  <c r="S21" i="10"/>
  <c r="S22" i="10" s="1"/>
  <c r="T22" i="10" s="1"/>
  <c r="E24" i="10" s="1"/>
  <c r="N24" i="10" s="1"/>
  <c r="K15" i="23"/>
  <c r="L15" i="23" s="1"/>
  <c r="L14" i="23"/>
  <c r="D14" i="23" s="1"/>
  <c r="L41" i="26"/>
  <c r="E40" i="26"/>
  <c r="G75" i="26" s="1"/>
  <c r="I31" i="23"/>
  <c r="E30" i="10"/>
  <c r="N30" i="10" s="1"/>
  <c r="J24" i="30" l="1"/>
  <c r="D66" i="30"/>
  <c r="E66" i="30"/>
  <c r="K24" i="30" s="1"/>
  <c r="P23" i="30" s="1"/>
  <c r="D24" i="26"/>
  <c r="E24" i="26"/>
  <c r="G59" i="26" s="1"/>
  <c r="K38" i="22"/>
  <c r="E38" i="22" s="1"/>
  <c r="N36" i="22" s="1"/>
  <c r="E37" i="22"/>
  <c r="N35" i="22" s="1"/>
  <c r="D15" i="23"/>
  <c r="I15" i="23" s="1"/>
  <c r="R21" i="22"/>
  <c r="R22" i="22" s="1"/>
  <c r="S22" i="22" s="1"/>
  <c r="E23" i="22" s="1"/>
  <c r="N21" i="22" s="1"/>
  <c r="S21" i="22"/>
  <c r="E22" i="22" s="1"/>
  <c r="N20" i="22" s="1"/>
  <c r="S20" i="22"/>
  <c r="E21" i="22" s="1"/>
  <c r="N19" i="22" s="1"/>
  <c r="T21" i="10"/>
  <c r="E23" i="10" s="1"/>
  <c r="N23" i="10" s="1"/>
  <c r="O61" i="26"/>
  <c r="O62" i="26" s="1"/>
  <c r="P62" i="26" s="1"/>
  <c r="I14" i="23"/>
  <c r="C15" i="23"/>
  <c r="K16" i="23"/>
  <c r="L16" i="23" s="1"/>
  <c r="E41" i="26"/>
  <c r="G76" i="26" s="1"/>
  <c r="L42" i="26"/>
  <c r="I32" i="23"/>
  <c r="E31" i="10"/>
  <c r="N31" i="10" s="1"/>
  <c r="D67" i="30" l="1"/>
  <c r="D68" i="30" s="1"/>
  <c r="E68" i="30" s="1"/>
  <c r="E67" i="30"/>
  <c r="K25" i="30" s="1"/>
  <c r="P24" i="30" s="1"/>
  <c r="P44" i="30" s="1"/>
  <c r="J25" i="30"/>
  <c r="J26" i="30" s="1"/>
  <c r="J27" i="30" s="1"/>
  <c r="J28" i="30" s="1"/>
  <c r="J29" i="30" s="1"/>
  <c r="J30" i="30" s="1"/>
  <c r="J31" i="30" s="1"/>
  <c r="J32" i="30" s="1"/>
  <c r="J33" i="30" s="1"/>
  <c r="J34" i="30" s="1"/>
  <c r="J35" i="30" s="1"/>
  <c r="J36" i="30" s="1"/>
  <c r="J37" i="30" s="1"/>
  <c r="J38" i="30" s="1"/>
  <c r="J39" i="30" s="1"/>
  <c r="J40" i="30" s="1"/>
  <c r="I43" i="30" s="1"/>
  <c r="C16" i="23"/>
  <c r="D25" i="26"/>
  <c r="N38" i="22"/>
  <c r="I5" i="22" s="1"/>
  <c r="K39" i="22"/>
  <c r="E26" i="26"/>
  <c r="G61" i="26" s="1"/>
  <c r="D16" i="23"/>
  <c r="I16" i="23" s="1"/>
  <c r="D22" i="22"/>
  <c r="D23" i="22" s="1"/>
  <c r="D24" i="22" s="1"/>
  <c r="D25" i="22" s="1"/>
  <c r="D26" i="22" s="1"/>
  <c r="D27" i="22" s="1"/>
  <c r="D28" i="22" s="1"/>
  <c r="D29" i="22" s="1"/>
  <c r="D30" i="22" s="1"/>
  <c r="D31" i="22" s="1"/>
  <c r="D32" i="22" s="1"/>
  <c r="D33" i="22" s="1"/>
  <c r="D34" i="22" s="1"/>
  <c r="D35" i="22" s="1"/>
  <c r="D36" i="22" s="1"/>
  <c r="D37" i="22" s="1"/>
  <c r="D38" i="22" s="1"/>
  <c r="D24" i="10"/>
  <c r="D25" i="10" s="1"/>
  <c r="D26" i="10" s="1"/>
  <c r="D27" i="10" s="1"/>
  <c r="D28" i="10" s="1"/>
  <c r="D29" i="10" s="1"/>
  <c r="D30" i="10" s="1"/>
  <c r="D31" i="10" s="1"/>
  <c r="D32" i="10" s="1"/>
  <c r="P61" i="26"/>
  <c r="K17" i="23"/>
  <c r="L17" i="23" s="1"/>
  <c r="I33" i="23"/>
  <c r="E32" i="10"/>
  <c r="N32" i="10" s="1"/>
  <c r="C17" i="23" l="1"/>
  <c r="E25" i="26"/>
  <c r="G60" i="26" s="1"/>
  <c r="G78" i="26" s="1"/>
  <c r="L5" i="26" s="1"/>
  <c r="D17" i="23"/>
  <c r="I17" i="23" s="1"/>
  <c r="K18" i="23"/>
  <c r="L18" i="23" s="1"/>
  <c r="D33" i="10"/>
  <c r="E33" i="10"/>
  <c r="N33" i="10" s="1"/>
  <c r="C18" i="23" l="1"/>
  <c r="D18" i="23"/>
  <c r="I18" i="23" s="1"/>
  <c r="I35" i="23" s="1"/>
  <c r="D3" i="23" s="1"/>
  <c r="D26" i="26"/>
  <c r="D27" i="26" s="1"/>
  <c r="D28" i="26" s="1"/>
  <c r="D29" i="26" s="1"/>
  <c r="D30" i="26" s="1"/>
  <c r="D31" i="26" s="1"/>
  <c r="D32" i="26" s="1"/>
  <c r="D33" i="26" s="1"/>
  <c r="D34" i="26" s="1"/>
  <c r="D35" i="26" s="1"/>
  <c r="D36" i="26" s="1"/>
  <c r="D37" i="26" s="1"/>
  <c r="D38" i="26" s="1"/>
  <c r="D39" i="26" s="1"/>
  <c r="D40" i="26" s="1"/>
  <c r="D41" i="26" s="1"/>
  <c r="D34" i="10"/>
  <c r="E34" i="10"/>
  <c r="N34" i="10" s="1"/>
  <c r="C19" i="23" l="1"/>
  <c r="C20" i="23" s="1"/>
  <c r="C21" i="23" s="1"/>
  <c r="C22" i="23" s="1"/>
  <c r="C23" i="23" s="1"/>
  <c r="C24" i="23" s="1"/>
  <c r="C25" i="23" s="1"/>
  <c r="C26" i="23" s="1"/>
  <c r="C27" i="23" s="1"/>
  <c r="C28" i="23" s="1"/>
  <c r="C29" i="23" s="1"/>
  <c r="C30" i="23" s="1"/>
  <c r="C31" i="23" s="1"/>
  <c r="C32" i="23" s="1"/>
  <c r="C33" i="23" s="1"/>
  <c r="D35" i="10"/>
  <c r="E35" i="10"/>
  <c r="D36" i="10" l="1"/>
  <c r="N35" i="10"/>
  <c r="E36" i="10"/>
  <c r="D37" i="10" l="1"/>
  <c r="N36" i="10"/>
  <c r="E37" i="10"/>
  <c r="D38" i="10" l="1"/>
  <c r="N37" i="10"/>
  <c r="E38" i="10"/>
  <c r="D39" i="10" l="1"/>
  <c r="N38" i="10"/>
  <c r="E39" i="10"/>
  <c r="N39" i="10" s="1"/>
  <c r="K40" i="10"/>
  <c r="N40" i="10" l="1"/>
  <c r="I6" i="10" s="1"/>
</calcChain>
</file>

<file path=xl/sharedStrings.xml><?xml version="1.0" encoding="utf-8"?>
<sst xmlns="http://schemas.openxmlformats.org/spreadsheetml/2006/main" count="442" uniqueCount="253">
  <si>
    <t>Federal Tax Credit 30%</t>
  </si>
  <si>
    <t>Project Address</t>
  </si>
  <si>
    <t>Quote</t>
  </si>
  <si>
    <t>Total cost including tax and shipping</t>
  </si>
  <si>
    <t>Pay Schedule</t>
  </si>
  <si>
    <t>Equipment Draw to begin Project</t>
  </si>
  <si>
    <t>By placing your signature below this quote becomes a contract.</t>
  </si>
  <si>
    <t>Coastal Solar Power Company, LLC (CSPC) will design and install:</t>
  </si>
  <si>
    <t>Date</t>
  </si>
  <si>
    <t>Equipment Used</t>
  </si>
  <si>
    <t>PV Income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</si>
  <si>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</si>
  <si>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</si>
  <si>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</si>
  <si>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</si>
  <si>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</si>
  <si>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</si>
  <si>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</si>
  <si>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</si>
  <si>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</si>
  <si>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</si>
  <si>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</si>
  <si>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</si>
  <si>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</si>
  <si>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</si>
  <si>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</si>
  <si>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</si>
  <si>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</si>
  <si>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</si>
  <si>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</si>
  <si>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</si>
  <si>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Additional Services-Tree Removal, Roofing, etc..</t>
  </si>
  <si>
    <t>Total</t>
  </si>
  <si>
    <t>Year 21</t>
  </si>
  <si>
    <t>Year 22</t>
  </si>
  <si>
    <t>Year 23</t>
  </si>
  <si>
    <t>Year 24</t>
  </si>
  <si>
    <t>Year 25</t>
  </si>
  <si>
    <t>Discounts or Rebates</t>
  </si>
  <si>
    <t>TOTAL</t>
  </si>
  <si>
    <t>Enter additional add ons</t>
  </si>
  <si>
    <t>Enter discount</t>
  </si>
  <si>
    <t>Cost of Project</t>
  </si>
  <si>
    <t>Non Refundable Egineering &amp; Design Fee</t>
  </si>
  <si>
    <t>Design Fee</t>
  </si>
  <si>
    <t>After 25% South Carolina Tax Credit</t>
  </si>
  <si>
    <t>SC Investment Asset</t>
  </si>
  <si>
    <t xml:space="preserve"> </t>
  </si>
  <si>
    <t xml:space="preserve">       PV Income               (Yearly Savings)***</t>
  </si>
  <si>
    <t>PV SOLAR SOLUTIONS INVESTMENT*</t>
  </si>
  <si>
    <t>85% of Investment</t>
  </si>
  <si>
    <t>Tax Credit+</t>
  </si>
  <si>
    <t>Cash Tax Equivalence+</t>
  </si>
  <si>
    <t>Solar Investement</t>
  </si>
  <si>
    <t xml:space="preserve">       Modified Accelerated Cost Recovery System</t>
  </si>
  <si>
    <t xml:space="preserve">                 Depreciation Schedule (MACRS)</t>
  </si>
  <si>
    <t xml:space="preserve">                                   30% Federal Tax Credit**                                 </t>
  </si>
  <si>
    <t>25% South Carolina Tax Credit**</t>
  </si>
  <si>
    <t>Solar Investment</t>
  </si>
  <si>
    <t>Solar Income</t>
  </si>
  <si>
    <t>Less potential Federal tax credit** (30%)</t>
  </si>
  <si>
    <t>Coastal Solar Representative</t>
  </si>
  <si>
    <t>Signature of Client                                                       Date</t>
  </si>
  <si>
    <t>Estimated PV system cost to buyer after tax credits</t>
  </si>
  <si>
    <t>Less South Carolina tax credit**(25%) $3500/year</t>
  </si>
  <si>
    <t>Final Balance</t>
  </si>
  <si>
    <t>TOTAL 25 YEAR SAVINGS</t>
  </si>
  <si>
    <t>ROI Highlights</t>
  </si>
  <si>
    <t>kwh Usage</t>
  </si>
  <si>
    <t>Bill Amount</t>
  </si>
  <si>
    <t>Jan</t>
  </si>
  <si>
    <t>Feb</t>
  </si>
  <si>
    <t>Mar</t>
  </si>
  <si>
    <t>Apr</t>
  </si>
  <si>
    <t>May</t>
  </si>
  <si>
    <t>June</t>
  </si>
  <si>
    <t>July</t>
  </si>
  <si>
    <t>Aug</t>
  </si>
  <si>
    <t>Sep</t>
  </si>
  <si>
    <t>Oct</t>
  </si>
  <si>
    <t>Nov</t>
  </si>
  <si>
    <t>Dec</t>
  </si>
  <si>
    <t>Annual                   kwh Use</t>
  </si>
  <si>
    <t xml:space="preserve">    Annual Cost of Utility</t>
  </si>
  <si>
    <t>Kwh Daily Use</t>
  </si>
  <si>
    <t>Daily Cost</t>
  </si>
  <si>
    <t>Project Cost</t>
  </si>
  <si>
    <t>January</t>
  </si>
  <si>
    <t>February</t>
  </si>
  <si>
    <t>March</t>
  </si>
  <si>
    <t>April</t>
  </si>
  <si>
    <t>August</t>
  </si>
  <si>
    <t>September</t>
  </si>
  <si>
    <t>October</t>
  </si>
  <si>
    <t>November</t>
  </si>
  <si>
    <t>December</t>
  </si>
  <si>
    <t>Totals</t>
  </si>
  <si>
    <t>Utility Consumption Offset Percentage Via Solar</t>
  </si>
  <si>
    <t>Monthly Average kwh Usage</t>
  </si>
  <si>
    <t>Preliminary Proposal Amount</t>
  </si>
  <si>
    <t xml:space="preserve">System Cost ($2.40-$2.75) per watt                                            </t>
  </si>
  <si>
    <t>System Size for Net Zero</t>
  </si>
  <si>
    <t>**Adjust Price per Watt as Needed**</t>
  </si>
  <si>
    <t>System Sizing and Cost Calculator</t>
  </si>
  <si>
    <t>**Adjust Desired Percentage to Offset Utility Consumption**</t>
  </si>
  <si>
    <t>Annual kwh Usage</t>
  </si>
  <si>
    <t>Solar Array Size-CSPC Recommendation 50%-80% of (B6).</t>
  </si>
  <si>
    <t>Enter Monthly kwh Usage and Bill Amounts (E9-E20 &amp; F9-F20)</t>
  </si>
  <si>
    <r>
      <rPr>
        <b/>
        <sz val="20"/>
        <color theme="1"/>
        <rFont val="Arial"/>
        <family val="2"/>
      </rPr>
      <t>Step 1</t>
    </r>
    <r>
      <rPr>
        <b/>
        <sz val="16"/>
        <color theme="1"/>
        <rFont val="Arial"/>
        <family val="2"/>
      </rPr>
      <t>.                                                                            Enter Company Name (E3), Contact Name &amp; Address (E4-E6) and Utility Company &amp; Meter Number (E7)</t>
    </r>
  </si>
  <si>
    <t>Solution Precentage</t>
  </si>
  <si>
    <r>
      <rPr>
        <b/>
        <sz val="20"/>
        <color rgb="FF000000"/>
        <rFont val="Arial"/>
        <family val="2"/>
      </rPr>
      <t xml:space="preserve">Step 3.    </t>
    </r>
    <r>
      <rPr>
        <b/>
        <sz val="16"/>
        <color rgb="FF000000"/>
        <rFont val="Arial"/>
        <family val="2"/>
      </rPr>
      <t xml:space="preserve">                                                                                     Enter Monthly PV Production (kwh) from PV Watts On Proposed kw Array Size.</t>
    </r>
  </si>
  <si>
    <t>Internal Rate of Return</t>
  </si>
  <si>
    <t>IRR</t>
  </si>
  <si>
    <t xml:space="preserve">INTERNAL RATE OF RETURN </t>
  </si>
  <si>
    <t>Outflow vs Inflow</t>
  </si>
  <si>
    <t>25% REAP Grant</t>
  </si>
  <si>
    <t>Mitigation</t>
  </si>
  <si>
    <t>Kilowatt Roof Mount Solar Array</t>
  </si>
  <si>
    <t xml:space="preserve">Coastal Solar uses the customers estimated tax rate to calculate the real flow that the customer can reasonably expect. The customers tax rate is multiplied against the depreciation to detrmine the amount of real cash flow the customer can expect to recieve. </t>
  </si>
  <si>
    <t>Total Solar Project Cost</t>
  </si>
  <si>
    <t xml:space="preserve">Basis for Depreciation Based </t>
  </si>
  <si>
    <t>on 85% of Total Project</t>
  </si>
  <si>
    <t>Estimated Section 179</t>
  </si>
  <si>
    <t>Basis for 50% Bonus Depreciation</t>
  </si>
  <si>
    <t xml:space="preserve">The internal rate of return is calculated based on the initial cash outflow for the solar investment coupled with the staggered cash in-flows over 25 years of warrantied life. While the spreadsheet stops at year twenty-five, the solar panels do not. The estimated useful life of a solar panel is 40 to 50 years. </t>
  </si>
  <si>
    <t>50% Bonus Depreciation based on .85</t>
  </si>
  <si>
    <t xml:space="preserve">PV Income Plus Cash on </t>
  </si>
  <si>
    <t>Cash Tax Benefit</t>
  </si>
  <si>
    <t>Basis for depreciation *.85</t>
  </si>
  <si>
    <t>Rate</t>
  </si>
  <si>
    <t>Depreciation Schedule MACRS</t>
  </si>
  <si>
    <t>Cash on Cash</t>
  </si>
  <si>
    <t xml:space="preserve">This column represents the basis for MACRS (Modified Accelerated Cost Recovery System) depreciation. The basis for depreciaiton is calculated based on 85% of the total cost of the solar investment. In this particular example, once the original solar investment has been multiplied by 85% to determine the basis for depreciaition, the basis for MACRS is further reduced by the amount of Section 179 expense the customer can use coupled with the 50% Bonus Depreciation. The number that remains is then placed into the MACRS schedule. </t>
  </si>
  <si>
    <t xml:space="preserve">The yearly PV saving is calculated using PV Watts, NREL (National Renerable Energy Laboratory). The PVWatts calculator calculates the energy production and cost savings of connected to the grid photovoltaic (PV) systems throughout the world (USA, UK, Europe, France, Italy, Spain...) Totally free, It allows anybody to easily estimate the performance of  worldwide PV projects. These estimates are based site specific 30 year historical weather data.
PVWatts calculator provides also estimated monthly and annual irradiation and energy production in kilowatts and energy value. Users can select a location and choose to use default values or their own system parameters for size, electric cost, array type, tilt angle, and azimuth angle. In addition, the PVWatts calculator can provide hourly performance data for the selected location. Coastal Solar uses PV Watts to help estimated the amount of annual energy savings that the customer will receive once the Solar system is installed. This number reflects the amount of money the customer will not have to pay the electric company. This number is used to calculate the Internal Rate of Return and the Return on Investment. 
</t>
  </si>
  <si>
    <t xml:space="preserve">Combined Cash on Cash Benefit from Depreciation and Tax Credit </t>
  </si>
  <si>
    <t>Total Income Produced from PV</t>
  </si>
  <si>
    <t>FINANCIAL FORECAST</t>
  </si>
  <si>
    <t>Federal 30% Tax Credit**</t>
  </si>
  <si>
    <t xml:space="preserve">Yearly PV Savings*** </t>
  </si>
  <si>
    <t xml:space="preserve"> kw PV System</t>
  </si>
  <si>
    <t>Front Loaded</t>
  </si>
  <si>
    <t>Solar</t>
  </si>
  <si>
    <t>Investment</t>
  </si>
  <si>
    <t>Cost                     Reduction</t>
  </si>
  <si>
    <t>PV SOLAR SOLUTION INVESTMENT*</t>
  </si>
  <si>
    <t xml:space="preserve">     Cost Per kwh</t>
  </si>
  <si>
    <t>Section 179</t>
  </si>
  <si>
    <t>This column represents the summation of all cash flows that are realized as a result of the Solar Investment. This is the ITC+Depreciation+Yearly PV Savings. The ITC (Investment Tax Credit), is calculated based on the total project cost. For example, if the total project cost is $1,000,000 then the tax credit would equal $300,000. This is amount is 100% realized against the customer’s tax liability. This amount is derived by multiplying the total project cost by 30%.</t>
  </si>
  <si>
    <t>The cash on cash column represents the yearly depreciation number multiplied by the customers estimated tax rate. This calculation gives the customer a true reflection of the amount of cash that will be recaptured from the depreciation. (85% of project cost times estimated tax rate)</t>
  </si>
  <si>
    <t>South Carolina 25% Tax Credit**</t>
  </si>
  <si>
    <t>Twelve Month Utility Usage</t>
  </si>
  <si>
    <r>
      <rPr>
        <b/>
        <sz val="14"/>
        <rFont val="Arial"/>
        <family val="2"/>
      </rPr>
      <t xml:space="preserve">DC Size of Desired System </t>
    </r>
    <r>
      <rPr>
        <b/>
        <sz val="14"/>
        <color rgb="FFFF0000"/>
        <rFont val="Arial"/>
        <family val="2"/>
      </rPr>
      <t>*Note the max size is 25kw in SC Resdential.</t>
    </r>
  </si>
  <si>
    <t>99% of Annual Usage Target</t>
  </si>
  <si>
    <t>DC kw Array Size of 99% Solution</t>
  </si>
  <si>
    <t>After 30% Investment Tax Credit</t>
  </si>
  <si>
    <t>Federal Investment Asset</t>
  </si>
  <si>
    <t>Client Name</t>
  </si>
  <si>
    <t>Annual Usage</t>
  </si>
  <si>
    <t>kwh</t>
  </si>
  <si>
    <t>Total kwh usage over 25 years</t>
  </si>
  <si>
    <t>Current cost per kwh</t>
  </si>
  <si>
    <t>Average cost per kwh over 25 years</t>
  </si>
  <si>
    <t>(Assuming a 5% annual Increase)</t>
  </si>
  <si>
    <t>Total cost of Grid Power for 25 years</t>
  </si>
  <si>
    <t>PV Solar Array Details</t>
  </si>
  <si>
    <t xml:space="preserve">kw PV System with a </t>
  </si>
  <si>
    <t>Mitigation Factor cost</t>
  </si>
  <si>
    <t>Less 30% Tax Credit</t>
  </si>
  <si>
    <t xml:space="preserve">Cost of PV Solar System after ITC </t>
  </si>
  <si>
    <t>Cost of Using Solar Power for 25 years</t>
  </si>
  <si>
    <t>Cost of Grid Only Power for 25 years</t>
  </si>
  <si>
    <t>kwh for 25 years</t>
  </si>
  <si>
    <t>% Mitigation Factor</t>
  </si>
  <si>
    <t>% Unmitigated Energy</t>
  </si>
  <si>
    <t>kwh from Solar</t>
  </si>
  <si>
    <t>kwh of Unmitigated Energy</t>
  </si>
  <si>
    <t>Cost of System after ITC</t>
  </si>
  <si>
    <t>X</t>
  </si>
  <si>
    <t>=</t>
  </si>
  <si>
    <t>Total Cost of Power for 25 years</t>
  </si>
  <si>
    <t>So, what am I saving by owning my power versus continuing to rent it?</t>
  </si>
  <si>
    <t>Cost for 25 years Using Grid Power Only</t>
  </si>
  <si>
    <t>Cost for 25 years Using Solar Power</t>
  </si>
  <si>
    <t>Total Saving for 25 years!</t>
  </si>
  <si>
    <t>Average Annual Savings!</t>
  </si>
  <si>
    <t>Average Monthly Savings!</t>
  </si>
  <si>
    <t>Less Depreciation (85%)</t>
  </si>
  <si>
    <t>KWH Cost of Electricity Now</t>
  </si>
  <si>
    <t>KWH Cost of Electricity in 25 years</t>
  </si>
  <si>
    <t>Avg Cost per KWH in 25 years</t>
  </si>
  <si>
    <t>Less 25% Tax Credit</t>
  </si>
  <si>
    <t>/KWH - Cost of Electricity in 25 years @ 5% annual increase</t>
  </si>
  <si>
    <t>/KWH is an average cost of electricity for the next 25 years</t>
  </si>
  <si>
    <t>South Carolina State Tax Credit</t>
  </si>
  <si>
    <t xml:space="preserve">Return on Investment </t>
  </si>
  <si>
    <t>Escalation=5%</t>
  </si>
  <si>
    <r>
      <t xml:space="preserve">RETURN ON SOLAR INVESTMENT CHART                                            </t>
    </r>
    <r>
      <rPr>
        <b/>
        <sz val="9"/>
        <rFont val="Arial"/>
        <family val="2"/>
      </rPr>
      <t xml:space="preserve"> (assuming 30% tax bracket)</t>
    </r>
  </si>
  <si>
    <r>
      <rPr>
        <sz val="16"/>
        <rFont val="Arial"/>
        <family val="2"/>
      </rPr>
      <t xml:space="preserve">RETURN ON SOLAR INVESTMENT CHART  </t>
    </r>
    <r>
      <rPr>
        <sz val="10"/>
        <rFont val="Arial"/>
        <family val="2"/>
      </rPr>
      <t xml:space="preserve">         </t>
    </r>
    <r>
      <rPr>
        <sz val="16"/>
        <rFont val="Arial"/>
        <family val="2"/>
      </rPr>
      <t xml:space="preserve">  </t>
    </r>
    <r>
      <rPr>
        <sz val="12"/>
        <rFont val="Arial"/>
        <family val="2"/>
      </rPr>
      <t xml:space="preserve"> (assuming 30% tax bracket)</t>
    </r>
  </si>
  <si>
    <t>Enviromental Benifits</t>
  </si>
  <si>
    <t>This PV Solar Project would Offset Annually</t>
  </si>
  <si>
    <t>Pounds of Carbon Dioxide</t>
  </si>
  <si>
    <t>This PV Solar Project is Equivalent to Planting</t>
  </si>
  <si>
    <t>Trees Annually</t>
  </si>
  <si>
    <t>$500 for Residential and $1,000 for small commercial.</t>
  </si>
  <si>
    <r>
      <t xml:space="preserve">A solar photovoltaic (PV) Generator. The system will comply with or exceed NEC, and local building codes. This estimate is for a premium Grid tied System that is dependent on utility power.                                                                                                                                                                                                 Premium 60 or 72 cell Photovoltaic modules 
Premium Inverter Systems                                                                                                                         Mounting hardware designed to 140mph wind load.
25 year production warranty on PV Modules.
10 year warranty on inverter system. (25 year upgrade available)
1 Year Labor Warranty.
</t>
    </r>
    <r>
      <rPr>
        <b/>
        <sz val="10"/>
        <rFont val="Cambria"/>
        <family val="1"/>
      </rPr>
      <t>Customer is responsible for providing Hi-Speed internet connection for monitoring system.
This MOU is approximate and will be reviewed by our Engineering Department. We believe it to be a close estimation based on the information at hand.</t>
    </r>
    <r>
      <rPr>
        <sz val="10"/>
        <rFont val="Cambria"/>
        <family val="1"/>
      </rPr>
      <t xml:space="preserve">
</t>
    </r>
  </si>
  <si>
    <r>
      <rPr>
        <b/>
        <sz val="28"/>
        <rFont val="Arial"/>
        <family val="2"/>
      </rPr>
      <t xml:space="preserve">Step 2.   </t>
    </r>
    <r>
      <rPr>
        <b/>
        <sz val="18"/>
        <rFont val="Arial"/>
        <family val="2"/>
      </rPr>
      <t xml:space="preserve">                                                                                                                                                                                                                                                                            </t>
    </r>
    <r>
      <rPr>
        <b/>
        <sz val="22"/>
        <rFont val="Arial"/>
        <family val="2"/>
      </rPr>
      <t xml:space="preserve"> Enter DC kw Array Size (B5) into (B7) and Then Enter That Size Array Into PV Watts (</t>
    </r>
    <r>
      <rPr>
        <b/>
        <u/>
        <sz val="22"/>
        <rFont val="Arial"/>
        <family val="2"/>
      </rPr>
      <t>this is a 99% solution</t>
    </r>
    <r>
      <rPr>
        <b/>
        <sz val="22"/>
        <rFont val="Arial"/>
        <family val="2"/>
      </rPr>
      <t xml:space="preserve">) or Enter Other Desired Array Size In (B7) If A Different Precentage Solution Is Being Proposed.                                                                                                                                                                                                                                                          **Also Adjust The Price Per Watt (B8) To Reflect Cost Being Sold.**($3.00/watt or $4.00/watt Residential --- $2.50/watt or $3.50/watt Commerical) </t>
    </r>
    <r>
      <rPr>
        <b/>
        <u/>
        <sz val="22"/>
        <rFont val="Arial"/>
        <family val="2"/>
      </rPr>
      <t>Please consult with Gold Star prior any price adjustments.</t>
    </r>
  </si>
  <si>
    <t>kw Array</t>
  </si>
  <si>
    <t>Le Creuset of America, Inc.</t>
  </si>
  <si>
    <t>Le Creuset</t>
  </si>
  <si>
    <t>114 Bob Gifford Blvd.</t>
  </si>
  <si>
    <t>Early Branch, SC 29916</t>
  </si>
  <si>
    <t>SCE&amp;G Electric Meter#002221999</t>
  </si>
  <si>
    <t>Intrest Rate</t>
  </si>
  <si>
    <t>Down Payment</t>
  </si>
  <si>
    <t>Annual Payment</t>
  </si>
  <si>
    <t>Capital Investment on a 15 Year Term at</t>
  </si>
  <si>
    <t>Interest rate</t>
  </si>
  <si>
    <t>Kilowatt Array</t>
  </si>
  <si>
    <t>SOLAR CAPITAL INVESTMENT*</t>
  </si>
  <si>
    <t>Federal Tax Credit</t>
  </si>
  <si>
    <t>Total Depreciation Value Through MACRS or Section 179</t>
  </si>
  <si>
    <t>Short Term Investment Return</t>
  </si>
  <si>
    <t>Long Term Investment Return</t>
  </si>
  <si>
    <r>
      <rPr>
        <b/>
        <sz val="10"/>
        <rFont val="Arial"/>
        <family val="2"/>
      </rPr>
      <t xml:space="preserve">RETURN ON INVESTMENT CHART </t>
    </r>
    <r>
      <rPr>
        <b/>
        <sz val="12"/>
        <rFont val="Arial"/>
        <family val="2"/>
      </rPr>
      <t xml:space="preserve">                                           </t>
    </r>
    <r>
      <rPr>
        <b/>
        <sz val="9"/>
        <rFont val="Arial"/>
        <family val="2"/>
      </rPr>
      <t xml:space="preserve"> (assuming 30% tax bracket)</t>
    </r>
  </si>
  <si>
    <t>Depreciation Value</t>
  </si>
  <si>
    <t>Tax Credit + Depreciation Value</t>
  </si>
  <si>
    <t>Tax Credit + Depreciation Value - Down Payment</t>
  </si>
  <si>
    <t xml:space="preserve">  PV Income                                (Annual Savings)</t>
  </si>
  <si>
    <t>Long Term Annual Profit</t>
  </si>
  <si>
    <t>Capital Investement</t>
  </si>
  <si>
    <t>Tax Credit +</t>
  </si>
  <si>
    <t>Depreciation Value +</t>
  </si>
  <si>
    <t>PV Income - Payments</t>
  </si>
  <si>
    <t>The ITC (Investment Tax Credit), is calculated based on the total project cost. For example, if the total project cost is $1,000,000 then the tax credit would equal $300,000. This is amount is 100% realized against the customer’s tax liability. This amount is derived by multiplying the total project cost by 30%.</t>
  </si>
  <si>
    <t>MACRS (Modified Accelerated Cost Recovery System) depreciation. The basis for depreciaiton is calculated based on 85% of the total cost of the solar investment. Once the original solar investment has been multiplied by 85% to determine the basis for depreciaition, the basis for MACRS is further reduced by the amount of Section 179 expense the customer can use coupled with the 50% Bonus Depreciation. The number that remains is then placed into the MACRS schedule.</t>
  </si>
  <si>
    <t>Profit After Payments</t>
  </si>
  <si>
    <t>Principal Plus Interest</t>
  </si>
  <si>
    <t>Accumlatated Investment Returns</t>
  </si>
  <si>
    <t>Months of The Year</t>
  </si>
  <si>
    <t>Current Consumption Loads Monthly</t>
  </si>
  <si>
    <t>Current Utility Cost Monthly</t>
  </si>
  <si>
    <t>Monthly kWh PV Production per NREL</t>
  </si>
  <si>
    <t>Solar Value if Self Consumed</t>
  </si>
  <si>
    <t>Anticipated Post Solar Costs If Self Comsumed</t>
  </si>
  <si>
    <t>Cost per kWh month by month</t>
  </si>
  <si>
    <t>Monthly Average</t>
  </si>
  <si>
    <t xml:space="preserve">*This proposal is based on material cost at the time of quote. Coastal Solar guarantees this price for 30 days from the date above. 
**The tax credit information represented is not intended as tax advice. Coastal Solar suggests you contact a tax advisor with questions regarding your specific situation. "Coastal Solar financial representations are estimates only and cannot be relied upon. The customer is responsible for verifying all tax information with a Certified Tax Accountant. PV income may be taxable even if it is avoided cost. Tax consequences could be offset by interest expense if client chooses to finance the transaction. All projections are based on current loads and consumption provided by the client. Customer is responsible for notifying Coastal Solar of all demands, off hours loads and consumption patterns. Solar power generates power during day light hours and will not have an impact on evening usage. Utilities may set a customers peak demand during times when solar is not effective or during a cloudy or rainy day. While Solar Power can reduce the customers overall kW usage, it cannot be expected to mitigate a customers peak demand. Coastal Solar is not responsible for future peak demand increases and rate changes by the utilities. PV Income are estimates only and should not be relied upon by the customer. The customer is responsible for contacting its utility account representative to verify savings."                                                                                  </t>
  </si>
  <si>
    <t xml:space="preserve">* All projections are based on current loads and consumption provided by the client. Customer is responsible for notifying Coastal Solar of all off hours loads and consumption patterns. Solar power generates power during day light hours and will not have an impact on evening usage. Georgia Power and other utilities may set a customers peak demand during times when solar is not effective or during a cloudy or rainy day. While Solar Power can reduce the customers overall kW usage, it cannot be expected to mitigate a customers peak demand. Coastal Solar is not responsible for future peak demand increases and rate changes by Georgia Power. PV Income are estimates only and should not be relied upon by the customer. The customer is responsible for contacting its Georgia Power account representative to verify savings."                                                                                  </t>
  </si>
  <si>
    <t>South Carolina Tax Credit</t>
  </si>
  <si>
    <t>Annual Loan Payment @</t>
  </si>
  <si>
    <t>Escalation Rate=4.5%</t>
  </si>
  <si>
    <t>*This proposal is based on material cost at the time of quote. Coastal Solar Power Company guarantees this price for 30 days from the date above. 
*The tax credit information represented is not intended as tax advice. Coastal Solar Power Company suggests you contact a tax advisor with questions regarding your specific situation.***Yearly savings are based on annual utility rate increases of 5% and PV panels effeciency degradation of 0.5%."Coastal Solar financial representations are estimates only and cannot be relied upon. The customer is responsible for verifying all tax information with a Certified Tax Accountant. PV income may be taxable even if it is avoided cost. Tax consequences could be offset by interest expense if client chooses to finance the transaction. All projections are based on current loads and consumption provided by the client. Customer is responsible for notifying Coastal Solar of all off hours loads and consumption patterns. Solar power generates power during day light hours and will not have an impact on evening usage. Utilities may set a customers peak demand during times when solar is not effective or during a cloudy or rainy day. While Solar Power can reduce the customers overall kW usage, it cannot be expected to mitigate a customers peak demand. Coastal Solar is not responsible for future peak demand increases and rate changes by Utilities. PV Income are estimates only and should not be relied upon by the customer. The customer is responsible for contacting its Utilities account representative to verify savings."</t>
  </si>
  <si>
    <t>2 Corpus Cristi Place Suite 200, Hilton Head, SC 29928      844.765.2793         www.coastalsolar.com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</si>
</sst>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 numFmtId="167" formatCode="0.0%"/>
    <numFmt numFmtId="174" formatCode="&quot;$&quot;#,##0.000"/>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8"/>
      <name val="Arial"/>
      <family val="2"/>
    </font>
    <font>
      <b/>
      <sz val="18"/>
      <name val="Arial"/>
      <family val="2"/>
    </font>
    <font>
      <b/>
      <sz val="12"/>
      <name val="Arial"/>
      <family val="2"/>
    </font>
    <font>
      <sz val="10"/>
      <name val="Cambria"/>
      <family val="1"/>
    </font>
    <font>
      <b/>
      <sz val="10"/>
      <name val="Cambria"/>
      <family val="1"/>
    </font>
    <font>
      <sz val="10"/>
      <name val="Calibri Light"/>
      <family val="1"/>
      <scheme val="major"/>
    </font>
    <font>
      <b/>
      <i/>
      <sz val="10"/>
      <name val="Cambria"/>
      <family val="1"/>
    </font>
    <font>
      <sz val="28"/>
      <name val="Impact"/>
      <family val="2"/>
    </font>
    <font>
      <sz val="6"/>
      <name val="Cambria"/>
      <family val="1"/>
    </font>
    <font>
      <sz val="6"/>
      <name val="Calibri Light"/>
      <family val="1"/>
      <scheme val="major"/>
    </font>
    <font>
      <sz val="8"/>
      <name val="Calibri Light"/>
      <family val="1"/>
      <scheme val="major"/>
    </font>
    <font>
      <sz val="8"/>
      <name val="Cambria"/>
      <family val="1"/>
    </font>
    <font>
      <b/>
      <sz val="14"/>
      <name val="Arial"/>
      <family val="2"/>
    </font>
    <font>
      <b/>
      <sz val="10"/>
      <color theme="9"/>
      <name val="Arial"/>
      <family val="2"/>
    </font>
    <font>
      <sz val="10"/>
      <color rgb="FFFF0000"/>
      <name val="Arial"/>
      <family val="2"/>
    </font>
    <font>
      <sz val="10"/>
      <color indexed="53"/>
      <name val="Arial"/>
      <family val="2"/>
    </font>
    <font>
      <sz val="10"/>
      <color theme="3" tint="0.59999389629810485"/>
      <name val="Arial"/>
      <family val="2"/>
    </font>
    <font>
      <sz val="10"/>
      <color rgb="FF00B050"/>
      <name val="Arial"/>
      <family val="2"/>
    </font>
    <font>
      <sz val="10"/>
      <color indexed="60"/>
      <name val="Arial"/>
      <family val="2"/>
    </font>
    <font>
      <b/>
      <u/>
      <sz val="10"/>
      <name val="Arial"/>
      <family val="2"/>
    </font>
    <font>
      <sz val="10"/>
      <name val="Georgia"/>
      <family val="1"/>
    </font>
    <font>
      <sz val="10"/>
      <color theme="9"/>
      <name val="Georgia"/>
      <family val="1"/>
    </font>
    <font>
      <sz val="10"/>
      <color rgb="FFFF0000"/>
      <name val="Georgia"/>
      <family val="1"/>
    </font>
    <font>
      <u/>
      <sz val="10"/>
      <color theme="11"/>
      <name val="Arial"/>
      <family val="2"/>
    </font>
    <font>
      <u/>
      <sz val="10"/>
      <color theme="10"/>
      <name val="Arial"/>
      <family val="2"/>
    </font>
    <font>
      <b/>
      <sz val="14"/>
      <color rgb="FFFF0000"/>
      <name val="Arial"/>
      <family val="2"/>
    </font>
    <font>
      <b/>
      <sz val="16"/>
      <name val="Arial"/>
      <family val="2"/>
    </font>
    <font>
      <sz val="10"/>
      <color rgb="FF00B050"/>
      <name val="Georgia"/>
      <family val="1"/>
    </font>
    <font>
      <sz val="10"/>
      <color rgb="FF0070C0"/>
      <name val="Georgia"/>
      <family val="1"/>
    </font>
    <font>
      <b/>
      <i/>
      <sz val="10"/>
      <name val="Calibri Light"/>
      <family val="2"/>
      <scheme val="major"/>
    </font>
    <font>
      <b/>
      <i/>
      <sz val="11"/>
      <name val="Calibri Light"/>
      <family val="2"/>
      <scheme val="major"/>
    </font>
    <font>
      <b/>
      <i/>
      <sz val="20"/>
      <name val="Calibri Light"/>
      <family val="1"/>
      <scheme val="major"/>
    </font>
    <font>
      <sz val="10"/>
      <color rgb="FFC00000"/>
      <name val="Arial"/>
      <family val="2"/>
    </font>
    <font>
      <b/>
      <sz val="16"/>
      <color rgb="FF00B050"/>
      <name val="Arial"/>
      <family val="2"/>
    </font>
    <font>
      <sz val="10"/>
      <color rgb="FF0070C0"/>
      <name val="Arial"/>
      <family val="2"/>
    </font>
    <font>
      <sz val="9"/>
      <name val="Cambria"/>
      <family val="1"/>
    </font>
    <font>
      <b/>
      <sz val="9"/>
      <name val="Arial"/>
      <family val="2"/>
    </font>
    <font>
      <b/>
      <sz val="10"/>
      <color rgb="FF00B050"/>
      <name val="Arial"/>
      <family val="2"/>
    </font>
    <font>
      <b/>
      <sz val="12"/>
      <color rgb="FF00B050"/>
      <name val="Arial"/>
      <family val="2"/>
    </font>
    <font>
      <b/>
      <sz val="16"/>
      <color rgb="FFFF0000"/>
      <name val="Arial"/>
      <family val="2"/>
    </font>
    <font>
      <b/>
      <i/>
      <sz val="40"/>
      <name val="Calibri Light"/>
      <family val="1"/>
      <scheme val="major"/>
    </font>
    <font>
      <b/>
      <sz val="14"/>
      <color rgb="FF00B050"/>
      <name val="Arial"/>
      <family val="2"/>
    </font>
    <font>
      <b/>
      <i/>
      <sz val="36"/>
      <name val="Calibri Light"/>
      <family val="1"/>
      <scheme val="major"/>
    </font>
    <font>
      <b/>
      <sz val="10"/>
      <name val="Georgia"/>
      <family val="1"/>
    </font>
    <font>
      <b/>
      <sz val="10"/>
      <color rgb="FF00B050"/>
      <name val="Georgia"/>
      <family val="1"/>
    </font>
    <font>
      <b/>
      <sz val="10"/>
      <color rgb="FF0070C0"/>
      <name val="Arial"/>
      <family val="2"/>
    </font>
    <font>
      <b/>
      <i/>
      <sz val="22"/>
      <name val="Arial"/>
      <family val="2"/>
    </font>
    <font>
      <b/>
      <i/>
      <sz val="10"/>
      <color rgb="FFFF0000"/>
      <name val="Calibri Light"/>
      <family val="2"/>
      <scheme val="major"/>
    </font>
    <font>
      <b/>
      <sz val="11"/>
      <color theme="1"/>
      <name val="Calibri"/>
      <family val="2"/>
      <scheme val="minor"/>
    </font>
    <font>
      <b/>
      <sz val="14"/>
      <color theme="1"/>
      <name val="Arial"/>
      <family val="2"/>
    </font>
    <font>
      <sz val="11"/>
      <color theme="1"/>
      <name val="Arial"/>
      <family val="2"/>
    </font>
    <font>
      <b/>
      <sz val="14"/>
      <color theme="1"/>
      <name val="Calibri"/>
      <family val="2"/>
      <scheme val="minor"/>
    </font>
    <font>
      <b/>
      <sz val="11"/>
      <color theme="1"/>
      <name val="Arial"/>
      <family val="2"/>
    </font>
    <font>
      <b/>
      <sz val="12"/>
      <color theme="1"/>
      <name val="Calibri"/>
      <family val="2"/>
      <scheme val="minor"/>
    </font>
    <font>
      <b/>
      <sz val="11"/>
      <color rgb="FF002060"/>
      <name val="Arial"/>
      <family val="2"/>
    </font>
    <font>
      <b/>
      <sz val="11"/>
      <color rgb="FFFF0000"/>
      <name val="Arial"/>
      <family val="2"/>
    </font>
    <font>
      <b/>
      <sz val="12"/>
      <color rgb="FFFF0000"/>
      <name val="Arial"/>
      <family val="2"/>
    </font>
    <font>
      <sz val="12"/>
      <color theme="1"/>
      <name val="Calibri"/>
      <family val="2"/>
      <scheme val="minor"/>
    </font>
    <font>
      <b/>
      <sz val="12"/>
      <color rgb="FF0070C0"/>
      <name val="Calibri"/>
      <family val="2"/>
      <scheme val="minor"/>
    </font>
    <font>
      <b/>
      <sz val="12"/>
      <color rgb="FF00B050"/>
      <name val="Calibri"/>
      <family val="2"/>
      <scheme val="minor"/>
    </font>
    <font>
      <b/>
      <sz val="14"/>
      <color rgb="FFFF0000"/>
      <name val="Calibri"/>
      <family val="2"/>
      <scheme val="minor"/>
    </font>
    <font>
      <sz val="14"/>
      <color theme="1"/>
      <name val="Calibri"/>
      <family val="2"/>
      <scheme val="minor"/>
    </font>
    <font>
      <b/>
      <sz val="14"/>
      <color rgb="FF0070C0"/>
      <name val="Calibri"/>
      <family val="2"/>
      <scheme val="minor"/>
    </font>
    <font>
      <b/>
      <sz val="14"/>
      <color rgb="FF00B050"/>
      <name val="Calibri"/>
      <family val="2"/>
      <scheme val="minor"/>
    </font>
    <font>
      <b/>
      <sz val="10"/>
      <color theme="1"/>
      <name val="Calibri"/>
      <family val="2"/>
      <scheme val="minor"/>
    </font>
    <font>
      <b/>
      <sz val="9"/>
      <color theme="1"/>
      <name val="Calibri"/>
      <family val="2"/>
      <scheme val="minor"/>
    </font>
    <font>
      <b/>
      <i/>
      <sz val="11"/>
      <color rgb="FFFF0000"/>
      <name val="Arial"/>
      <family val="2"/>
    </font>
    <font>
      <b/>
      <sz val="8"/>
      <color theme="1"/>
      <name val="Arial"/>
      <family val="2"/>
    </font>
    <font>
      <b/>
      <sz val="12"/>
      <color indexed="30"/>
      <name val="Calibri"/>
      <family val="2"/>
    </font>
    <font>
      <b/>
      <sz val="22"/>
      <name val="Arial"/>
      <family val="2"/>
    </font>
    <font>
      <sz val="22"/>
      <name val="Arial"/>
      <family val="2"/>
    </font>
    <font>
      <b/>
      <sz val="14"/>
      <name val="Georgia"/>
      <family val="1"/>
    </font>
    <font>
      <sz val="10"/>
      <color rgb="FF000000"/>
      <name val="Georgia"/>
      <family val="1"/>
    </font>
    <font>
      <sz val="10"/>
      <color rgb="FF000000"/>
      <name val="Georgia"/>
      <family val="2"/>
    </font>
    <font>
      <sz val="10"/>
      <name val="Arial"/>
      <family val="2"/>
    </font>
    <font>
      <b/>
      <sz val="14"/>
      <color rgb="FF002060"/>
      <name val="Arial"/>
      <family val="2"/>
    </font>
    <font>
      <b/>
      <sz val="16"/>
      <color rgb="FF000000"/>
      <name val="Arial"/>
      <family val="2"/>
    </font>
    <font>
      <b/>
      <sz val="12"/>
      <color theme="1"/>
      <name val="Arial"/>
      <family val="2"/>
    </font>
    <font>
      <b/>
      <sz val="12"/>
      <color rgb="FF000000"/>
      <name val="Arial"/>
      <family val="2"/>
    </font>
    <font>
      <b/>
      <sz val="12"/>
      <color rgb="FF0070C0"/>
      <name val="Arial"/>
      <family val="2"/>
    </font>
    <font>
      <sz val="10"/>
      <color rgb="FF000000"/>
      <name val="Arial"/>
      <family val="2"/>
    </font>
    <font>
      <b/>
      <sz val="16"/>
      <color theme="1"/>
      <name val="Arial"/>
      <family val="2"/>
    </font>
    <font>
      <b/>
      <sz val="20"/>
      <name val="Arial"/>
      <family val="2"/>
    </font>
    <font>
      <b/>
      <sz val="18"/>
      <color theme="1"/>
      <name val="Calibri"/>
      <family val="2"/>
      <scheme val="minor"/>
    </font>
    <font>
      <b/>
      <sz val="20"/>
      <color theme="1"/>
      <name val="Arial"/>
      <family val="2"/>
    </font>
    <font>
      <b/>
      <sz val="24"/>
      <name val="Arial"/>
      <family val="2"/>
    </font>
    <font>
      <b/>
      <sz val="20"/>
      <color rgb="FF000000"/>
      <name val="Arial"/>
      <family val="2"/>
    </font>
    <font>
      <b/>
      <u/>
      <sz val="22"/>
      <name val="Arial"/>
      <family val="2"/>
    </font>
    <font>
      <b/>
      <sz val="28"/>
      <name val="Arial"/>
      <family val="2"/>
    </font>
    <font>
      <sz val="10"/>
      <color theme="4" tint="-0.499984740745262"/>
      <name val="Arial"/>
      <family val="2"/>
    </font>
    <font>
      <b/>
      <sz val="10"/>
      <color rgb="FFFF0000"/>
      <name val="Arial"/>
      <family val="2"/>
    </font>
    <font>
      <b/>
      <sz val="10"/>
      <color theme="4" tint="-0.499984740745262"/>
      <name val="Arial"/>
      <family val="2"/>
    </font>
    <font>
      <sz val="12"/>
      <name val="Arial"/>
      <family val="2"/>
    </font>
    <font>
      <sz val="16"/>
      <name val="Arial"/>
      <family val="2"/>
    </font>
    <font>
      <sz val="10"/>
      <name val="Arial"/>
      <family val="2"/>
    </font>
    <font>
      <b/>
      <i/>
      <sz val="24"/>
      <name val="Arial Narrow"/>
      <family val="2"/>
    </font>
    <font>
      <b/>
      <i/>
      <sz val="20"/>
      <name val="Calibri Light"/>
      <family val="1"/>
      <scheme val="major"/>
    </font>
    <font>
      <b/>
      <sz val="14"/>
      <name val="Arial"/>
      <family val="2"/>
    </font>
    <font>
      <sz val="16"/>
      <name val="Arial"/>
      <family val="2"/>
    </font>
    <font>
      <b/>
      <sz val="16"/>
      <name val="Arial"/>
      <family val="2"/>
    </font>
    <font>
      <b/>
      <i/>
      <sz val="16"/>
      <name val="Arial"/>
      <family val="2"/>
    </font>
    <font>
      <b/>
      <sz val="16"/>
      <color rgb="FFFF0000"/>
      <name val="Arial"/>
      <family val="2"/>
    </font>
    <font>
      <b/>
      <sz val="11"/>
      <color rgb="FF00B050"/>
      <name val="Arial"/>
      <family val="2"/>
    </font>
    <font>
      <b/>
      <sz val="12"/>
      <name val="Georgia"/>
      <family val="1"/>
    </font>
    <font>
      <sz val="10"/>
      <name val="Georgia"/>
      <family val="1"/>
    </font>
    <font>
      <sz val="12"/>
      <name val="Arial"/>
      <family val="2"/>
    </font>
    <font>
      <b/>
      <sz val="16"/>
      <color rgb="FF00B050"/>
      <name val="Arial"/>
      <family val="2"/>
    </font>
    <font>
      <b/>
      <sz val="12"/>
      <color rgb="FF00B050"/>
      <name val="Arial"/>
      <family val="2"/>
    </font>
    <font>
      <b/>
      <sz val="16"/>
      <color theme="1"/>
      <name val="Arial"/>
      <family val="2"/>
    </font>
    <font>
      <b/>
      <sz val="10"/>
      <name val="Georgia"/>
      <family val="1"/>
    </font>
    <font>
      <b/>
      <sz val="12"/>
      <color rgb="FFC00000"/>
      <name val="Arial"/>
      <family val="2"/>
    </font>
    <font>
      <b/>
      <sz val="12"/>
      <name val="Arial"/>
      <family val="2"/>
    </font>
    <font>
      <b/>
      <sz val="11"/>
      <name val="Georgia"/>
      <family val="1"/>
    </font>
    <font>
      <b/>
      <sz val="10"/>
      <color rgb="FF00B050"/>
      <name val="Arial"/>
      <family val="2"/>
    </font>
    <font>
      <b/>
      <sz val="10"/>
      <name val="Arial"/>
      <family val="2"/>
    </font>
    <font>
      <b/>
      <sz val="9"/>
      <name val="Arial"/>
      <family val="2"/>
    </font>
    <font>
      <b/>
      <sz val="9"/>
      <name val="Georgia"/>
      <family val="1"/>
    </font>
    <font>
      <sz val="10"/>
      <color rgb="FFC00000"/>
      <name val="Arial"/>
      <family val="2"/>
    </font>
    <font>
      <b/>
      <sz val="10"/>
      <color rgb="FF0070C0"/>
      <name val="Arial"/>
      <family val="2"/>
    </font>
    <font>
      <b/>
      <sz val="14"/>
      <color rgb="FF00B050"/>
      <name val="Arial"/>
      <family val="2"/>
    </font>
    <font>
      <sz val="10"/>
      <color rgb="FF00B050"/>
      <name val="Arial"/>
      <family val="2"/>
    </font>
    <font>
      <sz val="10"/>
      <color rgb="FF0070C0"/>
      <name val="Arial"/>
      <family val="2"/>
    </font>
    <font>
      <sz val="10"/>
      <color theme="4"/>
      <name val="Arial"/>
      <family val="2"/>
    </font>
    <font>
      <sz val="10"/>
      <color theme="3" tint="0.39997558519241921"/>
      <name val="Arial"/>
      <family val="2"/>
    </font>
    <font>
      <sz val="10"/>
      <name val="Cambria"/>
      <family val="1"/>
    </font>
    <font>
      <b/>
      <sz val="11"/>
      <name val="Arial"/>
      <family val="2"/>
    </font>
    <font>
      <sz val="10"/>
      <color rgb="FFFF0000"/>
      <name val="Arial"/>
      <family val="2"/>
    </font>
    <font>
      <sz val="10"/>
      <name val="Arial"/>
      <family val="2"/>
    </font>
    <font>
      <b/>
      <sz val="14"/>
      <color rgb="FFC00000"/>
      <name val="Arial"/>
      <family val="2"/>
    </font>
    <font>
      <sz val="9"/>
      <name val="Arial"/>
      <family val="2"/>
    </font>
    <font>
      <b/>
      <i/>
      <u/>
      <sz val="14"/>
      <color theme="9" tint="-0.499984740745262"/>
      <name val="Arial"/>
      <family val="2"/>
    </font>
    <font>
      <b/>
      <sz val="10"/>
      <color rgb="FF0070C0"/>
      <name val="Georgia"/>
      <family val="1"/>
    </font>
    <font>
      <b/>
      <sz val="18"/>
      <color theme="9" tint="-0.499984740745262"/>
      <name val="Georgia"/>
      <family val="1"/>
    </font>
    <font>
      <b/>
      <sz val="16"/>
      <color theme="9" tint="-0.499984740745262"/>
      <name val="Georgia"/>
      <family val="1"/>
    </font>
    <font>
      <b/>
      <i/>
      <sz val="20"/>
      <name val="Arial"/>
      <family val="2"/>
    </font>
    <font>
      <b/>
      <i/>
      <sz val="18"/>
      <name val="Arial"/>
      <family val="2"/>
    </font>
    <font>
      <b/>
      <i/>
      <sz val="14"/>
      <color rgb="FF00B050"/>
      <name val="Arial"/>
      <family val="2"/>
    </font>
    <font>
      <sz val="10"/>
      <color theme="9"/>
      <name val="Arial"/>
      <family val="2"/>
    </font>
    <font>
      <b/>
      <i/>
      <u/>
      <sz val="14"/>
      <name val="Arial"/>
      <family val="2"/>
    </font>
    <font>
      <b/>
      <sz val="10"/>
      <color rgb="FFFF714F"/>
      <name val="Arial"/>
      <family val="2"/>
    </font>
    <font>
      <b/>
      <sz val="11"/>
      <color rgb="FFFF714F"/>
      <name val="Arial"/>
      <family val="2"/>
    </font>
    <font>
      <b/>
      <sz val="18"/>
      <color rgb="FF00B050"/>
      <name val="Arial"/>
      <family val="2"/>
    </font>
    <font>
      <sz val="7"/>
      <name val="Cambria"/>
      <family val="1"/>
    </font>
    <font>
      <b/>
      <sz val="7"/>
      <name val="Arial"/>
      <family val="2"/>
    </font>
  </fonts>
  <fills count="21">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FF330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00B05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714F"/>
        <bgColor indexed="64"/>
      </patternFill>
    </fill>
    <fill>
      <patternFill patternType="solid">
        <fgColor theme="2"/>
        <bgColor indexed="64"/>
      </patternFill>
    </fill>
    <fill>
      <patternFill patternType="solid">
        <fgColor theme="4" tint="0.79998168889431442"/>
        <bgColor indexed="64"/>
      </patternFill>
    </fill>
    <fill>
      <patternFill patternType="solid">
        <fgColor rgb="FFFF7C80"/>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auto="1"/>
      </bottom>
      <diagonal/>
    </border>
    <border>
      <left/>
      <right/>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thin">
        <color indexed="0"/>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double">
        <color theme="0" tint="-0.499984740745262"/>
      </left>
      <right/>
      <top style="thin">
        <color theme="0" tint="-0.499984740745262"/>
      </top>
      <bottom/>
      <diagonal/>
    </border>
    <border>
      <left/>
      <right/>
      <top style="thin">
        <color theme="0" tint="-0.499984740745262"/>
      </top>
      <bottom/>
      <diagonal/>
    </border>
    <border>
      <left/>
      <right style="double">
        <color theme="0" tint="-0.499984740745262"/>
      </right>
      <top style="thin">
        <color theme="0" tint="-0.499984740745262"/>
      </top>
      <bottom/>
      <diagonal/>
    </border>
    <border>
      <left style="double">
        <color theme="0" tint="-0.499984740745262"/>
      </left>
      <right/>
      <top/>
      <bottom/>
      <diagonal/>
    </border>
    <border>
      <left/>
      <right style="double">
        <color theme="0" tint="-0.499984740745262"/>
      </right>
      <top/>
      <bottom/>
      <diagonal/>
    </border>
    <border>
      <left style="double">
        <color theme="0" tint="-0.499984740745262"/>
      </left>
      <right/>
      <top/>
      <bottom style="double">
        <color theme="0" tint="-0.499984740745262"/>
      </bottom>
      <diagonal/>
    </border>
    <border>
      <left/>
      <right/>
      <top/>
      <bottom style="double">
        <color theme="0" tint="-0.499984740745262"/>
      </bottom>
      <diagonal/>
    </border>
    <border>
      <left/>
      <right style="double">
        <color theme="0" tint="-0.499984740745262"/>
      </right>
      <top/>
      <bottom style="double">
        <color theme="0" tint="-0.499984740745262"/>
      </bottom>
      <diagonal/>
    </border>
    <border>
      <left style="double">
        <color indexed="8"/>
      </left>
      <right style="thin">
        <color indexed="0"/>
      </right>
      <top style="thin">
        <color indexed="0"/>
      </top>
      <bottom/>
      <diagonal/>
    </border>
    <border>
      <left style="double">
        <color indexed="8"/>
      </left>
      <right style="thin">
        <color indexed="0"/>
      </right>
      <top style="thin">
        <color indexed="0"/>
      </top>
      <bottom style="thin">
        <color indexed="0"/>
      </bottom>
      <diagonal/>
    </border>
    <border>
      <left style="thin">
        <color indexed="0"/>
      </left>
      <right style="double">
        <color auto="1"/>
      </right>
      <top style="thin">
        <color indexed="0"/>
      </top>
      <bottom/>
      <diagonal/>
    </border>
    <border>
      <left style="thin">
        <color indexed="0"/>
      </left>
      <right style="double">
        <color auto="1"/>
      </right>
      <top style="thin">
        <color indexed="0"/>
      </top>
      <bottom style="thin">
        <color indexed="0"/>
      </bottom>
      <diagonal/>
    </border>
    <border>
      <left style="double">
        <color indexed="8"/>
      </left>
      <right/>
      <top/>
      <bottom/>
      <diagonal/>
    </border>
    <border>
      <left style="thin">
        <color indexed="8"/>
      </left>
      <right style="thin">
        <color indexed="8"/>
      </right>
      <top style="thin">
        <color indexed="0"/>
      </top>
      <bottom/>
      <diagonal/>
    </border>
    <border>
      <left/>
      <right style="double">
        <color auto="1"/>
      </right>
      <top/>
      <bottom/>
      <diagonal/>
    </border>
    <border>
      <left style="thin">
        <color indexed="8"/>
      </left>
      <right style="thin">
        <color indexed="8"/>
      </right>
      <top style="thin">
        <color indexed="8"/>
      </top>
      <bottom style="double">
        <color indexed="8"/>
      </bottom>
      <diagonal/>
    </border>
    <border>
      <left style="thin">
        <color auto="1"/>
      </left>
      <right/>
      <top style="double">
        <color auto="1"/>
      </top>
      <bottom style="thin">
        <color auto="1"/>
      </bottom>
      <diagonal/>
    </border>
    <border>
      <left/>
      <right/>
      <top/>
      <bottom style="double">
        <color auto="1"/>
      </bottom>
      <diagonal/>
    </border>
    <border>
      <left style="thin">
        <color indexed="8"/>
      </left>
      <right style="double">
        <color auto="1"/>
      </right>
      <top style="thin">
        <color indexed="0"/>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double">
        <color rgb="FF00B0F0"/>
      </left>
      <right/>
      <top style="double">
        <color rgb="FF00B0F0"/>
      </top>
      <bottom/>
      <diagonal/>
    </border>
    <border>
      <left/>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style="double">
        <color rgb="FF00B0F0"/>
      </left>
      <right/>
      <top/>
      <bottom style="thin">
        <color rgb="FF00B0F0"/>
      </bottom>
      <diagonal/>
    </border>
    <border>
      <left/>
      <right/>
      <top/>
      <bottom style="thin">
        <color rgb="FF00B0F0"/>
      </bottom>
      <diagonal/>
    </border>
    <border>
      <left/>
      <right style="double">
        <color rgb="FF00B0F0"/>
      </right>
      <top/>
      <bottom style="thin">
        <color rgb="FF00B0F0"/>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style="thin">
        <color rgb="FF002060"/>
      </left>
      <right style="thin">
        <color rgb="FF002060"/>
      </right>
      <top style="thin">
        <color rgb="FF002060"/>
      </top>
      <bottom style="thin">
        <color rgb="FF002060"/>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bottom/>
      <diagonal/>
    </border>
    <border>
      <left style="double">
        <color auto="1"/>
      </left>
      <right/>
      <top style="thin">
        <color auto="1"/>
      </top>
      <bottom style="thin">
        <color auto="1"/>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style="thin">
        <color auto="1"/>
      </right>
      <top style="double">
        <color auto="1"/>
      </top>
      <bottom style="thin">
        <color auto="1"/>
      </bottom>
      <diagonal/>
    </border>
    <border>
      <left style="double">
        <color auto="1"/>
      </left>
      <right style="thin">
        <color auto="1"/>
      </right>
      <top style="double">
        <color auto="1"/>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double">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right/>
      <top style="double">
        <color auto="1"/>
      </top>
      <bottom/>
      <diagonal/>
    </border>
    <border>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bottom style="double">
        <color auto="1"/>
      </bottom>
      <diagonal/>
    </border>
    <border>
      <left style="double">
        <color auto="1"/>
      </left>
      <right/>
      <top/>
      <bottom style="thin">
        <color auto="1"/>
      </bottom>
      <diagonal/>
    </border>
    <border>
      <left style="thin">
        <color auto="1"/>
      </left>
      <right/>
      <top/>
      <bottom/>
      <diagonal/>
    </border>
    <border>
      <left/>
      <right style="double">
        <color auto="1"/>
      </right>
      <top style="double">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rgb="FF002060"/>
      </left>
      <right/>
      <top/>
      <bottom/>
      <diagonal/>
    </border>
    <border>
      <left style="medium">
        <color theme="8" tint="-0.499984740745262"/>
      </left>
      <right/>
      <top style="medium">
        <color theme="8" tint="-0.499984740745262"/>
      </top>
      <bottom/>
      <diagonal/>
    </border>
    <border>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ouble">
        <color indexed="8"/>
      </left>
      <right style="double">
        <color indexed="8"/>
      </right>
      <top style="thin">
        <color indexed="8"/>
      </top>
      <bottom style="double">
        <color indexed="8"/>
      </bottom>
      <diagonal/>
    </border>
    <border>
      <left style="thin">
        <color indexed="8"/>
      </left>
      <right/>
      <top style="thin">
        <color indexed="8"/>
      </top>
      <bottom style="double">
        <color indexed="8"/>
      </bottom>
      <diagonal/>
    </border>
    <border>
      <left style="double">
        <color indexed="8"/>
      </left>
      <right style="double">
        <color indexed="8"/>
      </right>
      <top/>
      <bottom style="double">
        <color indexed="8"/>
      </bottom>
      <diagonal/>
    </border>
    <border>
      <left/>
      <right/>
      <top/>
      <bottom style="thick">
        <color auto="1"/>
      </bottom>
      <diagonal/>
    </border>
    <border>
      <left/>
      <right style="double">
        <color auto="1"/>
      </right>
      <top/>
      <bottom style="thick">
        <color auto="1"/>
      </bottom>
      <diagonal/>
    </border>
    <border>
      <left style="double">
        <color auto="1"/>
      </left>
      <right/>
      <top/>
      <bottom style="thick">
        <color rgb="FF00B050"/>
      </bottom>
      <diagonal/>
    </border>
    <border>
      <left/>
      <right/>
      <top/>
      <bottom style="thick">
        <color rgb="FF00B050"/>
      </bottom>
      <diagonal/>
    </border>
    <border>
      <left/>
      <right style="double">
        <color auto="1"/>
      </right>
      <top/>
      <bottom style="thick">
        <color rgb="FF00B050"/>
      </bottom>
      <diagonal/>
    </border>
    <border>
      <left style="double">
        <color auto="1"/>
      </left>
      <right/>
      <top/>
      <bottom style="thick">
        <color rgb="FFC00000"/>
      </bottom>
      <diagonal/>
    </border>
    <border>
      <left/>
      <right/>
      <top/>
      <bottom style="thick">
        <color rgb="FFC00000"/>
      </bottom>
      <diagonal/>
    </border>
    <border>
      <left/>
      <right style="double">
        <color auto="1"/>
      </right>
      <top/>
      <bottom style="thick">
        <color rgb="FFC00000"/>
      </bottom>
      <diagonal/>
    </border>
    <border>
      <left style="thin">
        <color auto="1"/>
      </left>
      <right/>
      <top style="thin">
        <color auto="1"/>
      </top>
      <bottom/>
      <diagonal/>
    </border>
    <border>
      <left/>
      <right/>
      <top style="thin">
        <color auto="1"/>
      </top>
      <bottom/>
      <diagonal/>
    </border>
    <border>
      <left/>
      <right style="double">
        <color auto="1"/>
      </right>
      <top style="thin">
        <color auto="1"/>
      </top>
      <bottom/>
      <diagonal/>
    </border>
    <border>
      <left/>
      <right style="double">
        <color auto="1"/>
      </right>
      <top/>
      <bottom style="thin">
        <color auto="1"/>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theme="9" tint="-0.499984740745262"/>
      </left>
      <right/>
      <top style="double">
        <color auto="1"/>
      </top>
      <bottom/>
      <diagonal/>
    </border>
    <border>
      <left/>
      <right style="double">
        <color theme="9" tint="-0.499984740745262"/>
      </right>
      <top style="double">
        <color auto="1"/>
      </top>
      <bottom/>
      <diagonal/>
    </border>
    <border>
      <left style="double">
        <color theme="9" tint="-0.499984740745262"/>
      </left>
      <right/>
      <top/>
      <bottom style="double">
        <color theme="9" tint="-0.24994659260841701"/>
      </bottom>
      <diagonal/>
    </border>
    <border>
      <left/>
      <right style="double">
        <color theme="9" tint="-0.499984740745262"/>
      </right>
      <top/>
      <bottom style="double">
        <color theme="9" tint="-0.24994659260841701"/>
      </bottom>
      <diagonal/>
    </border>
    <border>
      <left style="double">
        <color theme="9" tint="-0.24994659260841701"/>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style="double">
        <color theme="9" tint="-0.24994659260841701"/>
      </right>
      <top/>
      <bottom style="double">
        <color theme="9" tint="-0.24994659260841701"/>
      </bottom>
      <diagonal/>
    </border>
    <border>
      <left/>
      <right style="thin">
        <color auto="1"/>
      </right>
      <top style="thin">
        <color auto="1"/>
      </top>
      <bottom/>
      <diagonal/>
    </border>
    <border>
      <left/>
      <right style="thin">
        <color auto="1"/>
      </right>
      <top/>
      <bottom style="thin">
        <color auto="1"/>
      </bottom>
      <diagonal/>
    </border>
    <border>
      <left style="double">
        <color theme="0" tint="-0.499984740745262"/>
      </left>
      <right/>
      <top style="double">
        <color theme="0" tint="-0.499984740745262"/>
      </top>
      <bottom/>
      <diagonal/>
    </border>
    <border>
      <left/>
      <right/>
      <top style="double">
        <color theme="0" tint="-0.499984740745262"/>
      </top>
      <bottom/>
      <diagonal/>
    </border>
    <border>
      <left/>
      <right style="double">
        <color theme="0" tint="-0.499984740745262"/>
      </right>
      <top style="double">
        <color theme="0" tint="-0.499984740745262"/>
      </top>
      <bottom/>
      <diagonal/>
    </border>
    <border>
      <left style="double">
        <color theme="0" tint="-0.499984740745262"/>
      </left>
      <right/>
      <top/>
      <bottom style="thin">
        <color theme="0" tint="-0.499984740745262"/>
      </bottom>
      <diagonal/>
    </border>
    <border>
      <left/>
      <right/>
      <top/>
      <bottom style="thin">
        <color theme="0" tint="-0.499984740745262"/>
      </bottom>
      <diagonal/>
    </border>
    <border>
      <left/>
      <right style="double">
        <color theme="0" tint="-0.499984740745262"/>
      </right>
      <top/>
      <bottom style="thin">
        <color theme="0" tint="-0.499984740745262"/>
      </bottom>
      <diagonal/>
    </border>
    <border>
      <left style="double">
        <color theme="8" tint="-0.499984740745262"/>
      </left>
      <right/>
      <top style="double">
        <color theme="8" tint="-0.499984740745262"/>
      </top>
      <bottom/>
      <diagonal/>
    </border>
    <border>
      <left/>
      <right/>
      <top style="double">
        <color theme="8" tint="-0.499984740745262"/>
      </top>
      <bottom/>
      <diagonal/>
    </border>
    <border>
      <left/>
      <right style="double">
        <color theme="8" tint="-0.499984740745262"/>
      </right>
      <top style="double">
        <color theme="8" tint="-0.499984740745262"/>
      </top>
      <bottom/>
      <diagonal/>
    </border>
    <border>
      <left/>
      <right style="thin">
        <color auto="1"/>
      </right>
      <top style="thin">
        <color auto="1"/>
      </top>
      <bottom style="thin">
        <color auto="1"/>
      </bottom>
      <diagonal/>
    </border>
    <border>
      <left style="double">
        <color theme="8" tint="-0.499984740745262"/>
      </left>
      <right/>
      <top/>
      <bottom/>
      <diagonal/>
    </border>
    <border>
      <left/>
      <right style="double">
        <color theme="8" tint="-0.499984740745262"/>
      </right>
      <top/>
      <bottom/>
      <diagonal/>
    </border>
    <border>
      <left style="double">
        <color theme="8" tint="-0.499984740745262"/>
      </left>
      <right/>
      <top/>
      <bottom style="double">
        <color theme="8" tint="-0.499984740745262"/>
      </bottom>
      <diagonal/>
    </border>
    <border>
      <left/>
      <right/>
      <top/>
      <bottom style="double">
        <color theme="8" tint="-0.499984740745262"/>
      </bottom>
      <diagonal/>
    </border>
    <border>
      <left/>
      <right style="double">
        <color theme="8" tint="-0.499984740745262"/>
      </right>
      <top/>
      <bottom style="double">
        <color theme="8" tint="-0.499984740745262"/>
      </bottom>
      <diagonal/>
    </border>
    <border>
      <left style="double">
        <color theme="8" tint="-0.499984740745262"/>
      </left>
      <right/>
      <top/>
      <bottom style="medium">
        <color theme="8" tint="-0.499984740745262"/>
      </bottom>
      <diagonal/>
    </border>
    <border>
      <left style="double">
        <color auto="1"/>
      </left>
      <right style="thin">
        <color rgb="FF002060"/>
      </right>
      <top style="double">
        <color auto="1"/>
      </top>
      <bottom style="thin">
        <color rgb="FF002060"/>
      </bottom>
      <diagonal/>
    </border>
    <border>
      <left style="thin">
        <color rgb="FF002060"/>
      </left>
      <right style="thin">
        <color rgb="FF002060"/>
      </right>
      <top style="double">
        <color auto="1"/>
      </top>
      <bottom style="thin">
        <color rgb="FF002060"/>
      </bottom>
      <diagonal/>
    </border>
    <border>
      <left style="thin">
        <color rgb="FF002060"/>
      </left>
      <right style="double">
        <color auto="1"/>
      </right>
      <top style="double">
        <color auto="1"/>
      </top>
      <bottom style="thin">
        <color rgb="FF002060"/>
      </bottom>
      <diagonal/>
    </border>
    <border>
      <left style="double">
        <color auto="1"/>
      </left>
      <right style="thin">
        <color rgb="FF002060"/>
      </right>
      <top style="thin">
        <color rgb="FF002060"/>
      </top>
      <bottom style="thin">
        <color rgb="FF002060"/>
      </bottom>
      <diagonal/>
    </border>
    <border>
      <left style="thin">
        <color rgb="FF002060"/>
      </left>
      <right style="double">
        <color auto="1"/>
      </right>
      <top style="thin">
        <color rgb="FF002060"/>
      </top>
      <bottom style="thin">
        <color rgb="FF002060"/>
      </bottom>
      <diagonal/>
    </border>
    <border>
      <left style="double">
        <color auto="1"/>
      </left>
      <right style="thin">
        <color rgb="FF002060"/>
      </right>
      <top style="thin">
        <color rgb="FF002060"/>
      </top>
      <bottom style="double">
        <color auto="1"/>
      </bottom>
      <diagonal/>
    </border>
    <border>
      <left style="thin">
        <color rgb="FF002060"/>
      </left>
      <right style="thin">
        <color rgb="FF002060"/>
      </right>
      <top style="thin">
        <color rgb="FF002060"/>
      </top>
      <bottom style="double">
        <color auto="1"/>
      </bottom>
      <diagonal/>
    </border>
    <border>
      <left style="thin">
        <color rgb="FF002060"/>
      </left>
      <right style="double">
        <color auto="1"/>
      </right>
      <top style="thin">
        <color rgb="FF002060"/>
      </top>
      <bottom style="double">
        <color auto="1"/>
      </bottom>
      <diagonal/>
    </border>
  </borders>
  <cellStyleXfs count="19">
    <xf numFmtId="0" fontId="0" fillId="0" borderId="0"/>
    <xf numFmtId="4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9" fontId="8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34" fillId="0" borderId="0" applyFont="0" applyFill="0" applyBorder="0" applyAlignment="0" applyProtection="0"/>
  </cellStyleXfs>
  <cellXfs count="887">
    <xf numFmtId="0" fontId="0" fillId="0" borderId="0" xfId="0"/>
    <xf numFmtId="10" fontId="0" fillId="0" borderId="0" xfId="0" applyNumberFormat="1"/>
    <xf numFmtId="0" fontId="7" fillId="0" borderId="0" xfId="0" applyFont="1"/>
    <xf numFmtId="0" fontId="0" fillId="0" borderId="0" xfId="0" applyAlignment="1"/>
    <xf numFmtId="0" fontId="10" fillId="0" borderId="0" xfId="2" applyFont="1"/>
    <xf numFmtId="0" fontId="5" fillId="0" borderId="0" xfId="2"/>
    <xf numFmtId="0" fontId="10" fillId="0" borderId="0" xfId="2" applyFont="1" applyAlignment="1">
      <alignment horizontal="left" vertical="top"/>
    </xf>
    <xf numFmtId="0" fontId="13" fillId="0" borderId="0" xfId="2" applyFont="1"/>
    <xf numFmtId="164" fontId="11" fillId="0" borderId="0" xfId="2" applyNumberFormat="1" applyFont="1"/>
    <xf numFmtId="164" fontId="13" fillId="0" borderId="0" xfId="2" applyNumberFormat="1" applyFont="1"/>
    <xf numFmtId="0" fontId="12" fillId="0" borderId="0" xfId="2" applyFont="1"/>
    <xf numFmtId="164" fontId="12" fillId="0" borderId="0" xfId="2" applyNumberFormat="1" applyFont="1"/>
    <xf numFmtId="0" fontId="5" fillId="0" borderId="4" xfId="2" applyBorder="1"/>
    <xf numFmtId="0" fontId="17" fillId="0" borderId="0" xfId="2" applyFont="1"/>
    <xf numFmtId="0" fontId="18" fillId="0" borderId="0" xfId="2" applyFont="1"/>
    <xf numFmtId="164" fontId="11" fillId="0" borderId="3" xfId="2" applyNumberFormat="1" applyFont="1" applyBorder="1"/>
    <xf numFmtId="0" fontId="5" fillId="0" borderId="0" xfId="3"/>
    <xf numFmtId="0" fontId="5" fillId="0" borderId="0" xfId="3" applyAlignment="1">
      <alignment wrapText="1"/>
    </xf>
    <xf numFmtId="0" fontId="5" fillId="0" borderId="0" xfId="3" applyFont="1" applyAlignment="1">
      <alignment wrapText="1"/>
    </xf>
    <xf numFmtId="0" fontId="5" fillId="0" borderId="0" xfId="3" applyFont="1" applyAlignment="1">
      <alignment horizontal="center" vertical="center" wrapText="1"/>
    </xf>
    <xf numFmtId="0" fontId="20" fillId="0" borderId="0" xfId="3" applyFont="1" applyAlignment="1">
      <alignment wrapText="1"/>
    </xf>
    <xf numFmtId="164" fontId="5" fillId="0" borderId="0" xfId="3" applyNumberFormat="1"/>
    <xf numFmtId="164" fontId="21" fillId="0" borderId="0" xfId="3" applyNumberFormat="1" applyFont="1"/>
    <xf numFmtId="164" fontId="22" fillId="0" borderId="0" xfId="3" applyNumberFormat="1" applyFont="1"/>
    <xf numFmtId="164" fontId="23" fillId="0" borderId="0" xfId="3" applyNumberFormat="1" applyFont="1"/>
    <xf numFmtId="164" fontId="24" fillId="0" borderId="0" xfId="3" applyNumberFormat="1" applyFont="1"/>
    <xf numFmtId="164" fontId="25" fillId="0" borderId="0" xfId="3" applyNumberFormat="1" applyFont="1"/>
    <xf numFmtId="0" fontId="5" fillId="0" borderId="0" xfId="3" applyFont="1"/>
    <xf numFmtId="0" fontId="5" fillId="0" borderId="0" xfId="3" applyFont="1" applyAlignment="1">
      <alignment horizontal="center"/>
    </xf>
    <xf numFmtId="44" fontId="0" fillId="0" borderId="0" xfId="1" applyFont="1"/>
    <xf numFmtId="0" fontId="26" fillId="0" borderId="0" xfId="3" applyFont="1" applyAlignment="1">
      <alignment horizontal="center"/>
    </xf>
    <xf numFmtId="0" fontId="6" fillId="0" borderId="0" xfId="3" applyFont="1"/>
    <xf numFmtId="10" fontId="5" fillId="0" borderId="0" xfId="3" applyNumberFormat="1"/>
    <xf numFmtId="164" fontId="6" fillId="0" borderId="0" xfId="3" applyNumberFormat="1" applyFont="1"/>
    <xf numFmtId="44" fontId="5" fillId="0" borderId="0" xfId="3" applyNumberFormat="1"/>
    <xf numFmtId="1" fontId="5" fillId="0" borderId="0" xfId="3" applyNumberFormat="1"/>
    <xf numFmtId="0" fontId="27" fillId="0" borderId="0" xfId="3" applyFont="1"/>
    <xf numFmtId="0" fontId="27" fillId="0" borderId="0" xfId="3" applyFont="1" applyAlignment="1">
      <alignment horizontal="center"/>
    </xf>
    <xf numFmtId="9" fontId="27" fillId="0" borderId="0" xfId="4" applyFont="1" applyAlignment="1">
      <alignment horizontal="center"/>
    </xf>
    <xf numFmtId="0" fontId="27" fillId="0" borderId="0" xfId="4" applyNumberFormat="1" applyFont="1" applyAlignment="1">
      <alignment horizontal="right"/>
    </xf>
    <xf numFmtId="1" fontId="27" fillId="0" borderId="0" xfId="4" applyNumberFormat="1" applyFont="1"/>
    <xf numFmtId="165" fontId="28" fillId="0" borderId="0" xfId="1" applyNumberFormat="1" applyFont="1" applyAlignment="1">
      <alignment horizontal="left"/>
    </xf>
    <xf numFmtId="1" fontId="27" fillId="0" borderId="0" xfId="4" applyNumberFormat="1" applyFont="1" applyAlignment="1">
      <alignment horizontal="right"/>
    </xf>
    <xf numFmtId="0" fontId="10" fillId="4" borderId="0" xfId="2" applyFont="1" applyFill="1"/>
    <xf numFmtId="0" fontId="11" fillId="4" borderId="0" xfId="2" applyFont="1" applyFill="1"/>
    <xf numFmtId="44" fontId="8" fillId="3" borderId="10" xfId="0" applyNumberFormat="1" applyFont="1" applyFill="1" applyBorder="1" applyAlignment="1">
      <alignment horizontal="center" vertical="center"/>
    </xf>
    <xf numFmtId="165" fontId="29" fillId="0" borderId="0" xfId="1" applyNumberFormat="1" applyFont="1" applyBorder="1" applyAlignment="1">
      <alignment horizontal="center"/>
    </xf>
    <xf numFmtId="0" fontId="27" fillId="0" borderId="14" xfId="3" applyFont="1" applyBorder="1"/>
    <xf numFmtId="0" fontId="27" fillId="0" borderId="17" xfId="3" applyFont="1" applyBorder="1"/>
    <xf numFmtId="0" fontId="27" fillId="0" borderId="17" xfId="3" applyFont="1" applyBorder="1" applyAlignment="1">
      <alignment horizontal="center"/>
    </xf>
    <xf numFmtId="0" fontId="27" fillId="0" borderId="19" xfId="3" applyFont="1" applyBorder="1" applyAlignment="1">
      <alignment horizontal="center"/>
    </xf>
    <xf numFmtId="0" fontId="0" fillId="4" borderId="11" xfId="0" applyFill="1" applyBorder="1" applyAlignment="1">
      <alignment vertical="center"/>
    </xf>
    <xf numFmtId="0" fontId="8" fillId="6" borderId="26" xfId="0" applyFont="1" applyFill="1" applyBorder="1" applyAlignment="1">
      <alignment horizontal="center"/>
    </xf>
    <xf numFmtId="44" fontId="8" fillId="6" borderId="27" xfId="0" applyNumberFormat="1" applyFont="1" applyFill="1" applyBorder="1"/>
    <xf numFmtId="0" fontId="9" fillId="0" borderId="28" xfId="0" applyFont="1" applyBorder="1" applyAlignment="1">
      <alignment horizontal="center" vertical="center"/>
    </xf>
    <xf numFmtId="165" fontId="34" fillId="0" borderId="0" xfId="1" applyNumberFormat="1" applyFont="1" applyBorder="1" applyAlignment="1">
      <alignment horizontal="center"/>
    </xf>
    <xf numFmtId="165" fontId="34" fillId="0" borderId="20" xfId="1" applyNumberFormat="1" applyFont="1" applyBorder="1" applyAlignment="1">
      <alignment horizontal="center"/>
    </xf>
    <xf numFmtId="165" fontId="35" fillId="0" borderId="18" xfId="1" applyNumberFormat="1" applyFont="1" applyBorder="1" applyAlignment="1">
      <alignment horizontal="center"/>
    </xf>
    <xf numFmtId="165" fontId="35" fillId="0" borderId="21" xfId="1" applyNumberFormat="1" applyFont="1" applyBorder="1" applyAlignment="1">
      <alignment horizontal="center"/>
    </xf>
    <xf numFmtId="0" fontId="15" fillId="0" borderId="0" xfId="2" applyFont="1" applyAlignment="1">
      <alignment horizontal="left" vertical="top" wrapText="1"/>
    </xf>
    <xf numFmtId="0" fontId="36" fillId="0" borderId="0" xfId="2" applyFont="1"/>
    <xf numFmtId="164" fontId="36" fillId="0" borderId="0" xfId="2" applyNumberFormat="1" applyFont="1"/>
    <xf numFmtId="0" fontId="36" fillId="0" borderId="0" xfId="2" applyFont="1" applyAlignment="1">
      <alignment horizontal="right"/>
    </xf>
    <xf numFmtId="0" fontId="36" fillId="0" borderId="0" xfId="2" applyFont="1" applyAlignment="1"/>
    <xf numFmtId="0" fontId="9" fillId="4" borderId="32" xfId="0" applyFont="1" applyFill="1" applyBorder="1" applyAlignment="1">
      <alignment horizontal="center" vertical="center"/>
    </xf>
    <xf numFmtId="0" fontId="8" fillId="7" borderId="33" xfId="0" applyFont="1" applyFill="1" applyBorder="1" applyAlignment="1">
      <alignment horizontal="center" vertical="center"/>
    </xf>
    <xf numFmtId="44" fontId="8" fillId="7" borderId="34" xfId="0" applyNumberFormat="1" applyFont="1" applyFill="1" applyBorder="1" applyAlignment="1"/>
    <xf numFmtId="0" fontId="9" fillId="7" borderId="35" xfId="0" applyFont="1" applyFill="1" applyBorder="1" applyAlignment="1">
      <alignment horizontal="center" vertical="center"/>
    </xf>
    <xf numFmtId="0" fontId="8" fillId="8" borderId="29" xfId="0" applyFont="1" applyFill="1" applyBorder="1" applyAlignment="1">
      <alignment horizontal="center" vertical="center"/>
    </xf>
    <xf numFmtId="0" fontId="6" fillId="0" borderId="0" xfId="3" applyFont="1" applyAlignment="1">
      <alignment horizontal="center"/>
    </xf>
    <xf numFmtId="0" fontId="19" fillId="0" borderId="0" xfId="3" applyFont="1" applyAlignment="1">
      <alignment horizontal="center"/>
    </xf>
    <xf numFmtId="44" fontId="21" fillId="0" borderId="0" xfId="1" applyFont="1"/>
    <xf numFmtId="0" fontId="27" fillId="0" borderId="41" xfId="3" applyFont="1" applyBorder="1"/>
    <xf numFmtId="0" fontId="27" fillId="0" borderId="39" xfId="3" applyFont="1" applyBorder="1"/>
    <xf numFmtId="8" fontId="5" fillId="0" borderId="0" xfId="1" applyNumberFormat="1"/>
    <xf numFmtId="44" fontId="5" fillId="0" borderId="0" xfId="1"/>
    <xf numFmtId="8" fontId="5" fillId="0" borderId="0" xfId="3" applyNumberFormat="1"/>
    <xf numFmtId="8" fontId="5" fillId="0" borderId="0" xfId="3" applyNumberFormat="1" applyFont="1"/>
    <xf numFmtId="165" fontId="5" fillId="0" borderId="0" xfId="1" applyNumberFormat="1"/>
    <xf numFmtId="165" fontId="24" fillId="0" borderId="0" xfId="1" applyNumberFormat="1" applyFont="1" applyBorder="1" applyAlignment="1">
      <alignment horizontal="center"/>
    </xf>
    <xf numFmtId="165" fontId="24" fillId="0" borderId="0" xfId="3" applyNumberFormat="1" applyFont="1" applyAlignment="1">
      <alignment horizontal="center"/>
    </xf>
    <xf numFmtId="165" fontId="24" fillId="0" borderId="45" xfId="3" applyNumberFormat="1" applyFont="1" applyBorder="1" applyAlignment="1">
      <alignment horizontal="center"/>
    </xf>
    <xf numFmtId="165" fontId="41" fillId="0" borderId="40" xfId="1" applyNumberFormat="1" applyFont="1" applyBorder="1" applyAlignment="1">
      <alignment horizontal="center"/>
    </xf>
    <xf numFmtId="165" fontId="41" fillId="0" borderId="46" xfId="1" applyNumberFormat="1" applyFont="1" applyBorder="1" applyAlignment="1">
      <alignment horizontal="center"/>
    </xf>
    <xf numFmtId="0" fontId="38" fillId="0" borderId="0" xfId="3" applyFont="1" applyAlignment="1">
      <alignment vertical="center"/>
    </xf>
    <xf numFmtId="9" fontId="43" fillId="0" borderId="0" xfId="1" applyNumberFormat="1" applyFont="1"/>
    <xf numFmtId="10" fontId="43" fillId="0" borderId="0" xfId="1" applyNumberFormat="1" applyFont="1"/>
    <xf numFmtId="164" fontId="34" fillId="0" borderId="0" xfId="1" applyNumberFormat="1" applyFont="1" applyAlignment="1">
      <alignment horizontal="right"/>
    </xf>
    <xf numFmtId="8" fontId="5" fillId="0" borderId="0" xfId="1" applyNumberFormat="1" applyFont="1" applyAlignment="1">
      <alignment horizontal="center"/>
    </xf>
    <xf numFmtId="8" fontId="5" fillId="0" borderId="0" xfId="3" applyNumberFormat="1" applyFont="1" applyAlignment="1">
      <alignment horizontal="center"/>
    </xf>
    <xf numFmtId="0" fontId="5" fillId="0" borderId="39" xfId="3" applyFont="1" applyBorder="1" applyAlignment="1">
      <alignment horizontal="center" vertical="center"/>
    </xf>
    <xf numFmtId="0" fontId="5" fillId="0" borderId="44" xfId="3" applyFont="1" applyBorder="1" applyAlignment="1">
      <alignment horizontal="center" vertical="center"/>
    </xf>
    <xf numFmtId="0" fontId="9" fillId="0" borderId="0" xfId="3" applyFont="1" applyAlignment="1">
      <alignment horizontal="center" vertical="center"/>
    </xf>
    <xf numFmtId="164" fontId="45" fillId="0" borderId="0" xfId="3" applyNumberFormat="1" applyFont="1" applyAlignment="1">
      <alignment horizontal="left"/>
    </xf>
    <xf numFmtId="0" fontId="47" fillId="0" borderId="0" xfId="3" applyFont="1" applyAlignment="1">
      <alignment vertical="center"/>
    </xf>
    <xf numFmtId="0" fontId="6" fillId="0" borderId="0" xfId="3" applyFont="1" applyBorder="1" applyAlignment="1">
      <alignment vertical="center" wrapText="1"/>
    </xf>
    <xf numFmtId="0" fontId="6" fillId="0" borderId="42" xfId="3" applyFont="1" applyBorder="1" applyAlignment="1">
      <alignment vertical="center" wrapText="1"/>
    </xf>
    <xf numFmtId="0" fontId="6" fillId="0" borderId="40" xfId="3" applyFont="1" applyBorder="1" applyAlignment="1">
      <alignment horizontal="center"/>
    </xf>
    <xf numFmtId="0" fontId="6" fillId="0" borderId="43" xfId="3" applyFont="1" applyBorder="1" applyAlignment="1">
      <alignment horizontal="center"/>
    </xf>
    <xf numFmtId="0" fontId="42" fillId="0" borderId="0" xfId="2" applyFont="1" applyAlignment="1">
      <alignment vertical="top" wrapText="1"/>
    </xf>
    <xf numFmtId="8" fontId="5" fillId="0" borderId="0" xfId="1" applyNumberFormat="1" applyAlignment="1">
      <alignment horizontal="center"/>
    </xf>
    <xf numFmtId="164" fontId="48" fillId="0" borderId="0" xfId="3" applyNumberFormat="1" applyFont="1" applyAlignment="1">
      <alignment horizontal="left"/>
    </xf>
    <xf numFmtId="164" fontId="34" fillId="0" borderId="45" xfId="1" applyNumberFormat="1" applyFont="1" applyBorder="1" applyAlignment="1">
      <alignment horizontal="right"/>
    </xf>
    <xf numFmtId="0" fontId="49" fillId="0" borderId="0" xfId="3" applyFont="1" applyAlignment="1">
      <alignment horizontal="left" vertical="center"/>
    </xf>
    <xf numFmtId="164" fontId="48" fillId="0" borderId="0" xfId="3" applyNumberFormat="1" applyFont="1" applyBorder="1" applyAlignment="1">
      <alignment horizontal="left" wrapText="1"/>
    </xf>
    <xf numFmtId="0" fontId="17" fillId="0" borderId="0" xfId="2" applyFont="1" applyAlignment="1">
      <alignment horizontal="right"/>
    </xf>
    <xf numFmtId="8" fontId="44" fillId="0" borderId="0" xfId="1" applyNumberFormat="1" applyFont="1" applyAlignment="1">
      <alignment horizontal="center"/>
    </xf>
    <xf numFmtId="9" fontId="50" fillId="0" borderId="0" xfId="4" applyFont="1" applyAlignment="1">
      <alignment horizontal="center"/>
    </xf>
    <xf numFmtId="164" fontId="51" fillId="0" borderId="0" xfId="1" applyNumberFormat="1" applyFont="1" applyAlignment="1">
      <alignment horizontal="right"/>
    </xf>
    <xf numFmtId="0" fontId="50" fillId="0" borderId="0" xfId="3" applyFont="1" applyAlignment="1">
      <alignment horizontal="center"/>
    </xf>
    <xf numFmtId="0" fontId="11" fillId="0" borderId="0" xfId="2" applyFont="1"/>
    <xf numFmtId="164" fontId="44" fillId="0" borderId="0" xfId="3" applyNumberFormat="1" applyFont="1" applyBorder="1" applyAlignment="1">
      <alignment horizontal="center"/>
    </xf>
    <xf numFmtId="0" fontId="6" fillId="0" borderId="0" xfId="3" applyFont="1" applyAlignment="1">
      <alignment horizontal="right"/>
    </xf>
    <xf numFmtId="0" fontId="38" fillId="0" borderId="39" xfId="3" applyFont="1" applyBorder="1" applyAlignment="1">
      <alignment horizontal="left" vertical="center"/>
    </xf>
    <xf numFmtId="0" fontId="38" fillId="0" borderId="0" xfId="3" applyFont="1" applyBorder="1" applyAlignment="1">
      <alignment horizontal="left" vertical="center"/>
    </xf>
    <xf numFmtId="0" fontId="38" fillId="0" borderId="40" xfId="3" applyFont="1" applyBorder="1" applyAlignment="1">
      <alignment horizontal="left" vertical="center"/>
    </xf>
    <xf numFmtId="0" fontId="5" fillId="0" borderId="0" xfId="3" applyBorder="1"/>
    <xf numFmtId="0" fontId="5" fillId="0" borderId="39" xfId="3" applyBorder="1"/>
    <xf numFmtId="0" fontId="5" fillId="0" borderId="40" xfId="3" applyBorder="1"/>
    <xf numFmtId="0" fontId="5" fillId="0" borderId="0" xfId="3" applyFont="1" applyBorder="1"/>
    <xf numFmtId="0" fontId="27" fillId="0" borderId="0" xfId="3" applyFont="1" applyBorder="1"/>
    <xf numFmtId="0" fontId="19" fillId="0" borderId="0" xfId="3" applyFont="1" applyBorder="1" applyAlignment="1">
      <alignment horizontal="center"/>
    </xf>
    <xf numFmtId="164" fontId="48" fillId="0" borderId="0" xfId="3" applyNumberFormat="1" applyFont="1" applyBorder="1" applyAlignment="1">
      <alignment horizontal="left"/>
    </xf>
    <xf numFmtId="0" fontId="27" fillId="0" borderId="40" xfId="3" applyFont="1" applyBorder="1"/>
    <xf numFmtId="0" fontId="9" fillId="0" borderId="0" xfId="3" applyFont="1" applyBorder="1" applyAlignment="1">
      <alignment horizontal="center" vertical="center"/>
    </xf>
    <xf numFmtId="164" fontId="45" fillId="0" borderId="0" xfId="3" applyNumberFormat="1" applyFont="1" applyBorder="1" applyAlignment="1">
      <alignment horizontal="left"/>
    </xf>
    <xf numFmtId="8" fontId="5" fillId="0" borderId="0" xfId="1" applyNumberFormat="1" applyBorder="1" applyAlignment="1">
      <alignment horizontal="center"/>
    </xf>
    <xf numFmtId="9" fontId="43" fillId="0" borderId="0" xfId="1" applyNumberFormat="1" applyFont="1" applyBorder="1"/>
    <xf numFmtId="8" fontId="5" fillId="0" borderId="0" xfId="1" applyNumberFormat="1" applyFont="1" applyBorder="1" applyAlignment="1">
      <alignment horizontal="center"/>
    </xf>
    <xf numFmtId="9" fontId="50" fillId="0" borderId="0" xfId="4" applyFont="1" applyBorder="1" applyAlignment="1">
      <alignment horizontal="center"/>
    </xf>
    <xf numFmtId="164" fontId="51" fillId="0" borderId="40" xfId="1" applyNumberFormat="1" applyFont="1" applyBorder="1" applyAlignment="1">
      <alignment horizontal="right"/>
    </xf>
    <xf numFmtId="8" fontId="5" fillId="0" borderId="0" xfId="3" applyNumberFormat="1" applyFont="1" applyBorder="1" applyAlignment="1">
      <alignment horizontal="center"/>
    </xf>
    <xf numFmtId="0" fontId="50" fillId="0" borderId="0" xfId="3" applyFont="1" applyBorder="1" applyAlignment="1">
      <alignment horizontal="center"/>
    </xf>
    <xf numFmtId="10" fontId="43" fillId="0" borderId="0" xfId="1" applyNumberFormat="1" applyFont="1" applyBorder="1"/>
    <xf numFmtId="44" fontId="5" fillId="0" borderId="0" xfId="1" applyBorder="1"/>
    <xf numFmtId="8" fontId="5" fillId="0" borderId="0" xfId="3" applyNumberFormat="1" applyBorder="1"/>
    <xf numFmtId="8" fontId="5" fillId="0" borderId="0" xfId="3" applyNumberFormat="1" applyFont="1" applyBorder="1"/>
    <xf numFmtId="9" fontId="27" fillId="0" borderId="0" xfId="4" applyFont="1" applyBorder="1" applyAlignment="1">
      <alignment horizontal="center"/>
    </xf>
    <xf numFmtId="165" fontId="24" fillId="0" borderId="0" xfId="3" applyNumberFormat="1" applyFont="1" applyBorder="1" applyAlignment="1">
      <alignment horizontal="center"/>
    </xf>
    <xf numFmtId="0" fontId="6" fillId="0" borderId="0" xfId="3" applyFont="1" applyBorder="1" applyAlignment="1">
      <alignment horizontal="right"/>
    </xf>
    <xf numFmtId="0" fontId="5" fillId="0" borderId="44" xfId="3" applyBorder="1"/>
    <xf numFmtId="0" fontId="5" fillId="0" borderId="37" xfId="3" applyBorder="1"/>
    <xf numFmtId="0" fontId="6" fillId="0" borderId="37" xfId="3" applyFont="1" applyBorder="1" applyAlignment="1">
      <alignment horizontal="center"/>
    </xf>
    <xf numFmtId="0" fontId="6" fillId="0" borderId="38" xfId="3" applyFont="1" applyBorder="1" applyAlignment="1">
      <alignment horizontal="center"/>
    </xf>
    <xf numFmtId="0" fontId="5" fillId="0" borderId="39" xfId="3" applyFont="1" applyBorder="1"/>
    <xf numFmtId="0" fontId="54" fillId="0" borderId="0" xfId="2" applyFont="1"/>
    <xf numFmtId="0" fontId="4" fillId="0" borderId="0" xfId="9"/>
    <xf numFmtId="0" fontId="4" fillId="0" borderId="0" xfId="9" applyAlignment="1">
      <alignment horizontal="center"/>
    </xf>
    <xf numFmtId="0" fontId="4" fillId="0" borderId="0" xfId="9" applyAlignment="1"/>
    <xf numFmtId="0" fontId="4" fillId="0" borderId="0" xfId="9" applyBorder="1"/>
    <xf numFmtId="0" fontId="4" fillId="0" borderId="0" xfId="9" applyBorder="1" applyAlignment="1">
      <alignment horizontal="right"/>
    </xf>
    <xf numFmtId="0" fontId="4" fillId="0" borderId="0" xfId="9" applyBorder="1" applyAlignment="1"/>
    <xf numFmtId="164" fontId="4" fillId="0" borderId="0" xfId="9" applyNumberFormat="1"/>
    <xf numFmtId="0" fontId="64" fillId="0" borderId="0" xfId="9" applyFont="1" applyBorder="1"/>
    <xf numFmtId="164" fontId="65" fillId="0" borderId="0" xfId="9" applyNumberFormat="1" applyFont="1" applyBorder="1" applyAlignment="1">
      <alignment horizontal="center" vertical="center"/>
    </xf>
    <xf numFmtId="164" fontId="66" fillId="0" borderId="0" xfId="9" applyNumberFormat="1" applyFont="1" applyBorder="1" applyAlignment="1">
      <alignment horizontal="center"/>
    </xf>
    <xf numFmtId="0" fontId="60" fillId="0" borderId="0" xfId="9" applyFont="1" applyBorder="1" applyAlignment="1">
      <alignment horizontal="right"/>
    </xf>
    <xf numFmtId="0" fontId="60" fillId="0" borderId="0" xfId="9" applyFont="1" applyBorder="1"/>
    <xf numFmtId="43" fontId="67" fillId="0" borderId="0" xfId="10" applyFont="1" applyBorder="1" applyAlignment="1">
      <alignment horizontal="center" vertical="center"/>
    </xf>
    <xf numFmtId="0" fontId="68" fillId="0" borderId="0" xfId="9" applyFont="1" applyBorder="1" applyAlignment="1">
      <alignment horizontal="center" vertical="center"/>
    </xf>
    <xf numFmtId="43" fontId="69" fillId="0" borderId="0" xfId="10" applyFont="1" applyBorder="1" applyAlignment="1">
      <alignment horizontal="center" vertical="center"/>
    </xf>
    <xf numFmtId="43" fontId="70" fillId="0" borderId="0" xfId="10" applyFont="1" applyBorder="1" applyAlignment="1">
      <alignment horizontal="center"/>
    </xf>
    <xf numFmtId="0" fontId="68" fillId="0" borderId="0" xfId="9" applyFont="1" applyBorder="1"/>
    <xf numFmtId="0" fontId="58" fillId="0" borderId="0" xfId="9" applyFont="1" applyBorder="1" applyAlignment="1">
      <alignment horizontal="right"/>
    </xf>
    <xf numFmtId="0" fontId="58" fillId="0" borderId="0" xfId="9" applyFont="1" applyBorder="1"/>
    <xf numFmtId="0" fontId="71" fillId="0" borderId="0" xfId="9" applyFont="1" applyBorder="1" applyAlignment="1">
      <alignment horizontal="left"/>
    </xf>
    <xf numFmtId="0" fontId="72" fillId="0" borderId="0" xfId="9" applyFont="1" applyBorder="1" applyAlignment="1">
      <alignment horizontal="left"/>
    </xf>
    <xf numFmtId="10" fontId="70" fillId="0" borderId="0" xfId="9" applyNumberFormat="1" applyFont="1" applyBorder="1"/>
    <xf numFmtId="0" fontId="57" fillId="4" borderId="0" xfId="9" applyFont="1" applyFill="1" applyBorder="1"/>
    <xf numFmtId="0" fontId="75" fillId="0" borderId="0" xfId="0" applyFont="1" applyAlignment="1">
      <alignment horizontal="center"/>
    </xf>
    <xf numFmtId="164" fontId="4" fillId="0" borderId="0" xfId="9" applyNumberFormat="1" applyBorder="1"/>
    <xf numFmtId="0" fontId="61" fillId="0" borderId="0" xfId="9" applyFont="1" applyBorder="1" applyAlignment="1">
      <alignment horizontal="center" vertical="center"/>
    </xf>
    <xf numFmtId="0" fontId="61" fillId="0" borderId="0" xfId="9" applyFont="1" applyBorder="1" applyAlignment="1">
      <alignment horizontal="center"/>
    </xf>
    <xf numFmtId="164" fontId="62" fillId="0" borderId="0" xfId="9" applyNumberFormat="1" applyFont="1" applyBorder="1" applyAlignment="1">
      <alignment horizontal="center" vertical="center"/>
    </xf>
    <xf numFmtId="8" fontId="44" fillId="0" borderId="0" xfId="1" applyNumberFormat="1" applyFont="1" applyBorder="1" applyAlignment="1">
      <alignment horizontal="center"/>
    </xf>
    <xf numFmtId="0" fontId="10" fillId="0" borderId="0" xfId="2" applyFont="1" applyAlignment="1">
      <alignment vertical="center" wrapText="1"/>
    </xf>
    <xf numFmtId="0" fontId="5" fillId="0" borderId="0" xfId="3" applyAlignment="1"/>
    <xf numFmtId="164" fontId="32" fillId="0" borderId="0" xfId="3" applyNumberFormat="1" applyFont="1" applyBorder="1" applyAlignment="1">
      <alignment vertical="center"/>
    </xf>
    <xf numFmtId="0" fontId="5" fillId="0" borderId="0" xfId="0" applyFont="1" applyBorder="1"/>
    <xf numFmtId="0" fontId="79" fillId="0" borderId="0" xfId="0" applyFont="1" applyBorder="1"/>
    <xf numFmtId="0" fontId="80" fillId="0" borderId="0" xfId="0" applyFont="1" applyBorder="1"/>
    <xf numFmtId="44" fontId="80" fillId="0" borderId="0" xfId="1" applyFont="1" applyBorder="1"/>
    <xf numFmtId="0" fontId="80" fillId="0" borderId="0" xfId="0" applyNumberFormat="1" applyFont="1" applyBorder="1"/>
    <xf numFmtId="44" fontId="80" fillId="0" borderId="0" xfId="0" applyNumberFormat="1" applyFont="1" applyBorder="1"/>
    <xf numFmtId="44" fontId="5" fillId="0" borderId="0" xfId="4" applyNumberFormat="1" applyFont="1" applyBorder="1"/>
    <xf numFmtId="1" fontId="80" fillId="0" borderId="0" xfId="0" applyNumberFormat="1" applyFont="1" applyBorder="1"/>
    <xf numFmtId="0" fontId="21" fillId="0" borderId="0" xfId="0" applyFont="1" applyBorder="1"/>
    <xf numFmtId="0" fontId="80" fillId="0" borderId="0" xfId="4" applyNumberFormat="1" applyFont="1" applyBorder="1"/>
    <xf numFmtId="0" fontId="80" fillId="0" borderId="0" xfId="1" applyNumberFormat="1" applyFont="1" applyBorder="1"/>
    <xf numFmtId="14" fontId="80" fillId="0" borderId="0" xfId="0" applyNumberFormat="1" applyFont="1" applyBorder="1"/>
    <xf numFmtId="0" fontId="5" fillId="0" borderId="0" xfId="0" applyNumberFormat="1" applyFont="1" applyBorder="1"/>
    <xf numFmtId="0" fontId="24" fillId="0" borderId="0" xfId="0" applyFont="1" applyBorder="1"/>
    <xf numFmtId="1" fontId="60" fillId="0" borderId="0" xfId="9" applyNumberFormat="1" applyFont="1" applyBorder="1" applyAlignment="1">
      <alignment horizontal="center"/>
    </xf>
    <xf numFmtId="0" fontId="19" fillId="0" borderId="0" xfId="3" applyFont="1" applyAlignment="1">
      <alignment horizontal="center"/>
    </xf>
    <xf numFmtId="0" fontId="38" fillId="0" borderId="0" xfId="3" applyFont="1" applyAlignment="1">
      <alignment horizontal="left" vertical="center"/>
    </xf>
    <xf numFmtId="44" fontId="87" fillId="0" borderId="0" xfId="0" applyNumberFormat="1" applyFont="1" applyBorder="1"/>
    <xf numFmtId="10" fontId="87" fillId="0" borderId="0" xfId="0" applyNumberFormat="1" applyFont="1" applyBorder="1"/>
    <xf numFmtId="0" fontId="87" fillId="0" borderId="0" xfId="0" applyFont="1" applyBorder="1"/>
    <xf numFmtId="0" fontId="87" fillId="0" borderId="0" xfId="4" applyNumberFormat="1" applyFont="1" applyBorder="1"/>
    <xf numFmtId="0" fontId="9" fillId="4" borderId="52" xfId="0" applyFont="1" applyFill="1" applyBorder="1" applyAlignment="1">
      <alignment horizontal="center" vertical="center"/>
    </xf>
    <xf numFmtId="164" fontId="63" fillId="13" borderId="1" xfId="1" applyNumberFormat="1" applyFont="1" applyFill="1" applyBorder="1" applyAlignment="1">
      <alignment horizontal="center"/>
    </xf>
    <xf numFmtId="164" fontId="63" fillId="5" borderId="7" xfId="4" applyNumberFormat="1" applyFont="1" applyFill="1" applyBorder="1" applyAlignment="1">
      <alignment horizontal="center"/>
    </xf>
    <xf numFmtId="164" fontId="63" fillId="13" borderId="62" xfId="0" applyNumberFormat="1" applyFont="1" applyFill="1" applyBorder="1" applyAlignment="1">
      <alignment horizontal="center"/>
    </xf>
    <xf numFmtId="164" fontId="63" fillId="13" borderId="63" xfId="1" applyNumberFormat="1" applyFont="1" applyFill="1" applyBorder="1" applyAlignment="1">
      <alignment horizontal="center"/>
    </xf>
    <xf numFmtId="0" fontId="19" fillId="0" borderId="52" xfId="0" applyFont="1" applyFill="1" applyBorder="1" applyAlignment="1">
      <alignment horizontal="center" vertical="center" wrapText="1"/>
    </xf>
    <xf numFmtId="0" fontId="33" fillId="4" borderId="69" xfId="0" applyFont="1" applyFill="1" applyBorder="1" applyAlignment="1">
      <alignment horizontal="center" vertical="center" wrapText="1"/>
    </xf>
    <xf numFmtId="0" fontId="8" fillId="0" borderId="0" xfId="3" applyFont="1" applyAlignment="1">
      <alignment horizontal="right"/>
    </xf>
    <xf numFmtId="0" fontId="49" fillId="0" borderId="0" xfId="3" applyFont="1" applyBorder="1" applyAlignment="1">
      <alignment horizontal="left" vertical="center"/>
    </xf>
    <xf numFmtId="0" fontId="47" fillId="0" borderId="0" xfId="3" applyFont="1" applyBorder="1" applyAlignment="1">
      <alignment vertical="center"/>
    </xf>
    <xf numFmtId="0" fontId="38" fillId="0" borderId="0" xfId="3" applyFont="1" applyBorder="1" applyAlignment="1">
      <alignment vertical="center"/>
    </xf>
    <xf numFmtId="0" fontId="53" fillId="0" borderId="0" xfId="3" applyFont="1" applyBorder="1"/>
    <xf numFmtId="0" fontId="38" fillId="0" borderId="37" xfId="3" applyFont="1" applyBorder="1" applyAlignment="1">
      <alignment vertical="center"/>
    </xf>
    <xf numFmtId="0" fontId="38" fillId="0" borderId="38" xfId="3" applyFont="1" applyBorder="1" applyAlignment="1">
      <alignment vertical="center"/>
    </xf>
    <xf numFmtId="0" fontId="38" fillId="0" borderId="36" xfId="3" applyFont="1" applyBorder="1" applyAlignment="1">
      <alignment vertical="center"/>
    </xf>
    <xf numFmtId="164" fontId="44" fillId="0" borderId="40" xfId="3" applyNumberFormat="1" applyFont="1" applyBorder="1" applyAlignment="1">
      <alignment horizontal="center"/>
    </xf>
    <xf numFmtId="164" fontId="63" fillId="13" borderId="58" xfId="1" applyNumberFormat="1" applyFont="1" applyFill="1" applyBorder="1" applyAlignment="1">
      <alignment horizontal="center"/>
    </xf>
    <xf numFmtId="0" fontId="92" fillId="4" borderId="52" xfId="0" applyFont="1" applyFill="1" applyBorder="1" applyAlignment="1">
      <alignment vertical="center"/>
    </xf>
    <xf numFmtId="1" fontId="8" fillId="9" borderId="68" xfId="0" applyNumberFormat="1" applyFont="1" applyFill="1" applyBorder="1" applyAlignment="1">
      <alignment horizontal="center" vertical="center"/>
    </xf>
    <xf numFmtId="1" fontId="8" fillId="9" borderId="7" xfId="0" applyNumberFormat="1" applyFont="1" applyFill="1" applyBorder="1" applyAlignment="1">
      <alignment horizontal="center" vertical="center"/>
    </xf>
    <xf numFmtId="0" fontId="8" fillId="5" borderId="8" xfId="0" applyFont="1" applyFill="1" applyBorder="1" applyAlignment="1">
      <alignment horizontal="center" vertical="center" readingOrder="1"/>
    </xf>
    <xf numFmtId="0" fontId="8" fillId="5" borderId="6" xfId="0" applyFont="1" applyFill="1" applyBorder="1" applyAlignment="1">
      <alignment horizontal="center" vertical="center" readingOrder="1"/>
    </xf>
    <xf numFmtId="0" fontId="33" fillId="3" borderId="22" xfId="0" applyFont="1" applyFill="1" applyBorder="1" applyAlignment="1">
      <alignment horizontal="center"/>
    </xf>
    <xf numFmtId="0" fontId="33" fillId="3" borderId="23" xfId="0" applyFont="1" applyFill="1" applyBorder="1" applyAlignment="1">
      <alignment horizontal="center"/>
    </xf>
    <xf numFmtId="0" fontId="33" fillId="3" borderId="26" xfId="0" applyFont="1" applyFill="1" applyBorder="1" applyAlignment="1">
      <alignment horizontal="center"/>
    </xf>
    <xf numFmtId="0" fontId="8" fillId="5" borderId="6" xfId="0" applyFont="1" applyFill="1" applyBorder="1" applyAlignment="1">
      <alignment horizontal="center" vertical="center" wrapText="1"/>
    </xf>
    <xf numFmtId="0" fontId="8" fillId="3" borderId="9" xfId="0" applyFont="1" applyFill="1" applyBorder="1" applyAlignment="1">
      <alignment horizontal="center" vertical="center"/>
    </xf>
    <xf numFmtId="0" fontId="89" fillId="5" borderId="8" xfId="0" applyFont="1" applyFill="1" applyBorder="1" applyAlignment="1">
      <alignment horizontal="center" vertical="center"/>
    </xf>
    <xf numFmtId="0" fontId="2" fillId="0" borderId="0" xfId="9" applyFont="1"/>
    <xf numFmtId="0" fontId="8" fillId="14" borderId="71" xfId="0" applyFont="1" applyFill="1" applyBorder="1" applyAlignment="1">
      <alignment horizontal="center" vertical="center" readingOrder="1"/>
    </xf>
    <xf numFmtId="1" fontId="8" fillId="9" borderId="11" xfId="0" applyNumberFormat="1" applyFont="1" applyFill="1" applyBorder="1" applyAlignment="1">
      <alignment horizontal="center" vertical="center"/>
    </xf>
    <xf numFmtId="1" fontId="8" fillId="14" borderId="48" xfId="0" applyNumberFormat="1" applyFont="1" applyFill="1" applyBorder="1" applyAlignment="1">
      <alignment horizontal="center" vertical="center"/>
    </xf>
    <xf numFmtId="0" fontId="89" fillId="5" borderId="53" xfId="0" applyFont="1" applyFill="1" applyBorder="1" applyAlignment="1">
      <alignment horizontal="center" vertical="center" wrapText="1"/>
    </xf>
    <xf numFmtId="0" fontId="32" fillId="4" borderId="50" xfId="0" applyFont="1" applyFill="1" applyBorder="1" applyAlignment="1">
      <alignment horizontal="center" vertical="center" wrapText="1"/>
    </xf>
    <xf numFmtId="1" fontId="8" fillId="9" borderId="72" xfId="0" applyNumberFormat="1" applyFont="1" applyFill="1" applyBorder="1" applyAlignment="1">
      <alignment horizontal="center" vertical="center"/>
    </xf>
    <xf numFmtId="0" fontId="9" fillId="4" borderId="24" xfId="0" applyFont="1" applyFill="1" applyBorder="1" applyAlignment="1">
      <alignment horizontal="center" vertical="center" wrapText="1"/>
    </xf>
    <xf numFmtId="0" fontId="9" fillId="4" borderId="25" xfId="0" applyFont="1" applyFill="1" applyBorder="1" applyAlignment="1">
      <alignment horizontal="center" vertical="center"/>
    </xf>
    <xf numFmtId="165" fontId="5" fillId="0" borderId="0" xfId="3" applyNumberFormat="1"/>
    <xf numFmtId="0" fontId="19" fillId="0" borderId="20" xfId="3" applyFont="1" applyBorder="1" applyAlignment="1">
      <alignment vertical="center"/>
    </xf>
    <xf numFmtId="0" fontId="5" fillId="0" borderId="0" xfId="3" applyBorder="1"/>
    <xf numFmtId="0" fontId="5" fillId="0" borderId="55" xfId="3" applyBorder="1"/>
    <xf numFmtId="165" fontId="21" fillId="0" borderId="74" xfId="3" applyNumberFormat="1" applyFont="1" applyBorder="1" applyAlignment="1">
      <alignment horizontal="center"/>
    </xf>
    <xf numFmtId="10" fontId="40" fillId="0" borderId="37" xfId="3" applyNumberFormat="1" applyFont="1" applyBorder="1" applyAlignment="1">
      <alignment horizontal="center"/>
    </xf>
    <xf numFmtId="0" fontId="5" fillId="0" borderId="66" xfId="3" applyBorder="1" applyAlignment="1">
      <alignment horizontal="right"/>
    </xf>
    <xf numFmtId="10" fontId="44" fillId="0" borderId="73" xfId="3" applyNumberFormat="1" applyFont="1" applyBorder="1" applyAlignment="1">
      <alignment horizontal="center"/>
    </xf>
    <xf numFmtId="165" fontId="41" fillId="0" borderId="75" xfId="3" applyNumberFormat="1" applyFont="1" applyBorder="1" applyAlignment="1">
      <alignment horizontal="center"/>
    </xf>
    <xf numFmtId="165" fontId="41" fillId="0" borderId="76" xfId="3" applyNumberFormat="1" applyFont="1" applyBorder="1" applyAlignment="1">
      <alignment horizontal="center"/>
    </xf>
    <xf numFmtId="165" fontId="96" fillId="0" borderId="75" xfId="3" applyNumberFormat="1" applyFont="1" applyBorder="1" applyAlignment="1">
      <alignment horizontal="center"/>
    </xf>
    <xf numFmtId="0" fontId="6" fillId="0" borderId="66" xfId="3" applyFont="1" applyBorder="1" applyAlignment="1">
      <alignment horizontal="right"/>
    </xf>
    <xf numFmtId="0" fontId="19" fillId="0" borderId="54" xfId="3" applyFont="1" applyBorder="1" applyAlignment="1">
      <alignment horizontal="center"/>
    </xf>
    <xf numFmtId="10" fontId="45" fillId="0" borderId="55" xfId="3" applyNumberFormat="1" applyFont="1" applyBorder="1" applyAlignment="1">
      <alignment horizontal="center"/>
    </xf>
    <xf numFmtId="164" fontId="97" fillId="0" borderId="74" xfId="3" applyNumberFormat="1" applyFont="1" applyBorder="1" applyAlignment="1">
      <alignment horizontal="center"/>
    </xf>
    <xf numFmtId="165" fontId="98" fillId="0" borderId="75" xfId="3" applyNumberFormat="1" applyFont="1" applyBorder="1" applyAlignment="1">
      <alignment horizontal="center"/>
    </xf>
    <xf numFmtId="165" fontId="98" fillId="0" borderId="76" xfId="3" applyNumberFormat="1" applyFont="1" applyBorder="1" applyAlignment="1">
      <alignment horizontal="center"/>
    </xf>
    <xf numFmtId="9" fontId="45" fillId="0" borderId="73" xfId="13" applyFont="1" applyBorder="1" applyAlignment="1">
      <alignment horizontal="center"/>
    </xf>
    <xf numFmtId="10" fontId="40" fillId="0" borderId="0" xfId="3" applyNumberFormat="1" applyFont="1" applyAlignment="1">
      <alignment horizontal="center"/>
    </xf>
    <xf numFmtId="10" fontId="48" fillId="0" borderId="20" xfId="3" applyNumberFormat="1" applyFont="1" applyBorder="1" applyAlignment="1">
      <alignment horizontal="center" vertical="center"/>
    </xf>
    <xf numFmtId="0" fontId="6" fillId="0" borderId="0" xfId="3" applyFont="1" applyBorder="1"/>
    <xf numFmtId="9" fontId="6" fillId="0" borderId="0" xfId="3" applyNumberFormat="1" applyFont="1" applyBorder="1"/>
    <xf numFmtId="0" fontId="6" fillId="0" borderId="0" xfId="3" applyFont="1" applyBorder="1" applyAlignment="1">
      <alignment horizontal="left" vertical="center"/>
    </xf>
    <xf numFmtId="0" fontId="6" fillId="0" borderId="0" xfId="3" applyFont="1" applyBorder="1" applyAlignment="1">
      <alignment horizontal="left"/>
    </xf>
    <xf numFmtId="0" fontId="6" fillId="0" borderId="0" xfId="3" applyFont="1" applyAlignment="1">
      <alignment horizontal="left" vertical="center"/>
    </xf>
    <xf numFmtId="9" fontId="6" fillId="0" borderId="0" xfId="3" applyNumberFormat="1" applyFont="1"/>
    <xf numFmtId="164" fontId="11" fillId="0" borderId="0" xfId="2" applyNumberFormat="1" applyFont="1" applyBorder="1"/>
    <xf numFmtId="0" fontId="37" fillId="0" borderId="0" xfId="2" applyFont="1" applyAlignment="1">
      <alignment horizontal="left"/>
    </xf>
    <xf numFmtId="0" fontId="57" fillId="4" borderId="0" xfId="9" applyFont="1" applyFill="1" applyBorder="1" applyAlignment="1" applyProtection="1">
      <alignment horizontal="center"/>
    </xf>
    <xf numFmtId="0" fontId="61" fillId="4" borderId="0" xfId="9" applyNumberFormat="1" applyFont="1" applyFill="1" applyBorder="1" applyAlignment="1" applyProtection="1">
      <alignment horizontal="center"/>
    </xf>
    <xf numFmtId="164" fontId="62" fillId="4" borderId="0" xfId="9" applyNumberFormat="1" applyFont="1" applyFill="1" applyBorder="1" applyAlignment="1" applyProtection="1">
      <alignment horizontal="center"/>
    </xf>
    <xf numFmtId="0" fontId="62" fillId="4" borderId="0" xfId="9" applyFont="1" applyFill="1" applyBorder="1" applyAlignment="1" applyProtection="1">
      <alignment horizontal="center"/>
    </xf>
    <xf numFmtId="0" fontId="8" fillId="2" borderId="48" xfId="0" applyNumberFormat="1" applyFont="1" applyFill="1" applyBorder="1" applyAlignment="1" applyProtection="1">
      <alignment horizontal="center" vertical="center"/>
      <protection locked="0"/>
    </xf>
    <xf numFmtId="44" fontId="8" fillId="5" borderId="2" xfId="1" applyNumberFormat="1" applyFont="1" applyFill="1" applyBorder="1" applyAlignment="1" applyProtection="1">
      <alignment horizontal="center" vertical="center"/>
      <protection locked="0"/>
    </xf>
    <xf numFmtId="8" fontId="8" fillId="2" borderId="27" xfId="0" applyNumberFormat="1" applyFont="1" applyFill="1" applyBorder="1" applyAlignment="1" applyProtection="1">
      <alignment vertical="center"/>
      <protection locked="0"/>
    </xf>
    <xf numFmtId="44" fontId="8" fillId="2" borderId="13" xfId="0" applyNumberFormat="1" applyFont="1" applyFill="1" applyBorder="1" applyAlignment="1" applyProtection="1">
      <alignment vertical="center"/>
      <protection locked="0"/>
    </xf>
    <xf numFmtId="44" fontId="8" fillId="2" borderId="12" xfId="0" applyNumberFormat="1" applyFont="1" applyFill="1" applyBorder="1" applyAlignment="1" applyProtection="1">
      <alignment vertical="center"/>
      <protection locked="0"/>
    </xf>
    <xf numFmtId="165" fontId="39" fillId="0" borderId="0" xfId="1" applyNumberFormat="1" applyFont="1" applyBorder="1" applyAlignment="1" applyProtection="1">
      <alignment horizontal="center"/>
      <protection locked="0"/>
    </xf>
    <xf numFmtId="165" fontId="24" fillId="0" borderId="0" xfId="1" applyNumberFormat="1" applyFont="1" applyBorder="1" applyAlignment="1" applyProtection="1">
      <alignment horizontal="center"/>
      <protection locked="0"/>
    </xf>
    <xf numFmtId="165" fontId="52" fillId="0" borderId="40" xfId="1" applyNumberFormat="1" applyFont="1" applyBorder="1" applyAlignment="1" applyProtection="1">
      <alignment horizontal="center"/>
      <protection locked="0"/>
    </xf>
    <xf numFmtId="0" fontId="74" fillId="4" borderId="0" xfId="9" applyFont="1" applyFill="1" applyBorder="1" applyAlignment="1">
      <alignment vertical="center" wrapText="1"/>
    </xf>
    <xf numFmtId="0" fontId="61" fillId="4" borderId="0" xfId="9" applyFont="1" applyFill="1" applyBorder="1" applyAlignment="1">
      <alignment vertical="center" wrapText="1"/>
    </xf>
    <xf numFmtId="9" fontId="40" fillId="15" borderId="76" xfId="0" applyNumberFormat="1" applyFont="1" applyFill="1" applyBorder="1" applyAlignment="1">
      <alignment horizontal="center"/>
    </xf>
    <xf numFmtId="0" fontId="9" fillId="13" borderId="56" xfId="0" applyFont="1" applyFill="1" applyBorder="1" applyAlignment="1">
      <alignment horizontal="center" vertical="center" wrapText="1"/>
    </xf>
    <xf numFmtId="0" fontId="101" fillId="0" borderId="0" xfId="3" applyFont="1"/>
    <xf numFmtId="0" fontId="101" fillId="0" borderId="78" xfId="3" applyFont="1" applyBorder="1"/>
    <xf numFmtId="0" fontId="101" fillId="0" borderId="79" xfId="3" applyFont="1" applyBorder="1"/>
    <xf numFmtId="0" fontId="101" fillId="0" borderId="80" xfId="3" applyFont="1" applyBorder="1"/>
    <xf numFmtId="0" fontId="103" fillId="0" borderId="81" xfId="3" applyFont="1" applyBorder="1" applyAlignment="1">
      <alignment vertical="center"/>
    </xf>
    <xf numFmtId="0" fontId="103" fillId="0" borderId="0" xfId="3" applyFont="1" applyBorder="1" applyAlignment="1">
      <alignment vertical="center"/>
    </xf>
    <xf numFmtId="0" fontId="103" fillId="0" borderId="82" xfId="3" applyFont="1" applyBorder="1" applyAlignment="1">
      <alignment vertical="center"/>
    </xf>
    <xf numFmtId="0" fontId="104" fillId="0" borderId="0" xfId="3" applyNumberFormat="1" applyFont="1" applyAlignment="1">
      <alignment vertical="top"/>
    </xf>
    <xf numFmtId="0" fontId="104" fillId="0" borderId="0" xfId="3" applyFont="1" applyAlignment="1">
      <alignment horizontal="right" vertical="top"/>
    </xf>
    <xf numFmtId="0" fontId="101" fillId="0" borderId="81" xfId="3" applyFont="1" applyBorder="1"/>
    <xf numFmtId="0" fontId="101" fillId="0" borderId="0" xfId="3" applyFont="1" applyBorder="1"/>
    <xf numFmtId="0" fontId="101" fillId="0" borderId="0" xfId="3" applyNumberFormat="1" applyFont="1"/>
    <xf numFmtId="164" fontId="108" fillId="0" borderId="0" xfId="1" applyNumberFormat="1" applyFont="1" applyBorder="1" applyAlignment="1">
      <alignment horizontal="center"/>
    </xf>
    <xf numFmtId="164" fontId="108" fillId="0" borderId="0" xfId="3" applyNumberFormat="1" applyFont="1" applyBorder="1" applyAlignment="1">
      <alignment horizontal="center"/>
    </xf>
    <xf numFmtId="164" fontId="101" fillId="0" borderId="0" xfId="1" applyNumberFormat="1" applyFont="1" applyBorder="1" applyAlignment="1">
      <alignment horizontal="right"/>
    </xf>
    <xf numFmtId="0" fontId="109" fillId="0" borderId="0" xfId="3" applyFont="1" applyBorder="1"/>
    <xf numFmtId="0" fontId="110" fillId="0" borderId="0" xfId="3" applyFont="1" applyBorder="1"/>
    <xf numFmtId="0" fontId="111" fillId="0" borderId="0" xfId="3" applyFont="1" applyBorder="1"/>
    <xf numFmtId="164" fontId="112" fillId="0" borderId="0" xfId="1" applyNumberFormat="1" applyFont="1" applyBorder="1" applyAlignment="1">
      <alignment horizontal="center"/>
    </xf>
    <xf numFmtId="0" fontId="101" fillId="0" borderId="0" xfId="3" applyFont="1" applyBorder="1" applyAlignment="1">
      <alignment horizontal="center"/>
    </xf>
    <xf numFmtId="10" fontId="113" fillId="0" borderId="82" xfId="3" applyNumberFormat="1" applyFont="1" applyBorder="1" applyAlignment="1">
      <alignment horizontal="left"/>
    </xf>
    <xf numFmtId="44" fontId="101" fillId="0" borderId="0" xfId="1" applyFont="1" applyBorder="1"/>
    <xf numFmtId="164" fontId="101" fillId="0" borderId="0" xfId="3" applyNumberFormat="1" applyFont="1" applyBorder="1"/>
    <xf numFmtId="164" fontId="114" fillId="0" borderId="0" xfId="1" applyNumberFormat="1" applyFont="1" applyBorder="1" applyAlignment="1">
      <alignment horizontal="center"/>
    </xf>
    <xf numFmtId="0" fontId="101" fillId="0" borderId="82" xfId="3" applyFont="1" applyBorder="1"/>
    <xf numFmtId="0" fontId="115" fillId="0" borderId="0" xfId="1" applyNumberFormat="1" applyFont="1" applyBorder="1" applyAlignment="1"/>
    <xf numFmtId="44" fontId="115" fillId="0" borderId="0" xfId="1" applyFont="1" applyBorder="1" applyAlignment="1">
      <alignment horizontal="center"/>
    </xf>
    <xf numFmtId="0" fontId="116" fillId="0" borderId="0" xfId="3" applyFont="1" applyBorder="1"/>
    <xf numFmtId="164" fontId="117" fillId="0" borderId="0" xfId="1" applyNumberFormat="1" applyFont="1" applyBorder="1" applyAlignment="1">
      <alignment horizontal="center"/>
    </xf>
    <xf numFmtId="164" fontId="114" fillId="0" borderId="0" xfId="3" applyNumberFormat="1" applyFont="1" applyBorder="1" applyAlignment="1">
      <alignment horizontal="center"/>
    </xf>
    <xf numFmtId="0" fontId="119" fillId="0" borderId="0" xfId="3" applyFont="1" applyBorder="1"/>
    <xf numFmtId="0" fontId="112" fillId="0" borderId="0" xfId="3" applyFont="1" applyBorder="1" applyAlignment="1">
      <alignment horizontal="center"/>
    </xf>
    <xf numFmtId="0" fontId="110" fillId="0" borderId="0" xfId="3" applyFont="1" applyBorder="1" applyAlignment="1">
      <alignment horizontal="center" vertical="center" wrapText="1"/>
    </xf>
    <xf numFmtId="0" fontId="104" fillId="0" borderId="0" xfId="3" applyNumberFormat="1" applyFont="1"/>
    <xf numFmtId="164" fontId="101" fillId="0" borderId="0" xfId="1" applyNumberFormat="1" applyFont="1" applyBorder="1" applyAlignment="1">
      <alignment horizontal="center"/>
    </xf>
    <xf numFmtId="0" fontId="112" fillId="0" borderId="0" xfId="3" applyNumberFormat="1" applyFont="1" applyAlignment="1">
      <alignment vertical="top"/>
    </xf>
    <xf numFmtId="0" fontId="104" fillId="0" borderId="0" xfId="3" applyFont="1"/>
    <xf numFmtId="164" fontId="101" fillId="0" borderId="0" xfId="1" applyNumberFormat="1" applyFont="1" applyBorder="1" applyAlignment="1">
      <alignment horizontal="center" wrapText="1"/>
    </xf>
    <xf numFmtId="164" fontId="120" fillId="0" borderId="0" xfId="3" applyNumberFormat="1" applyFont="1" applyBorder="1" applyAlignment="1">
      <alignment horizontal="center"/>
    </xf>
    <xf numFmtId="0" fontId="111" fillId="0" borderId="81" xfId="3" applyFont="1" applyBorder="1"/>
    <xf numFmtId="164" fontId="101" fillId="0" borderId="0" xfId="3" applyNumberFormat="1" applyFont="1" applyBorder="1" applyAlignment="1">
      <alignment horizontal="right"/>
    </xf>
    <xf numFmtId="164" fontId="120" fillId="0" borderId="0" xfId="1" applyNumberFormat="1" applyFont="1" applyBorder="1"/>
    <xf numFmtId="0" fontId="111" fillId="0" borderId="82" xfId="3" applyFont="1" applyBorder="1"/>
    <xf numFmtId="0" fontId="101" fillId="0" borderId="89" xfId="3" applyFont="1" applyBorder="1"/>
    <xf numFmtId="0" fontId="121" fillId="0" borderId="0" xfId="3" applyFont="1" applyBorder="1" applyAlignment="1">
      <alignment horizontal="center"/>
    </xf>
    <xf numFmtId="0" fontId="121" fillId="0" borderId="90" xfId="3" applyFont="1" applyBorder="1" applyAlignment="1">
      <alignment horizontal="center"/>
    </xf>
    <xf numFmtId="0" fontId="111" fillId="0" borderId="0" xfId="3" applyFont="1" applyBorder="1" applyAlignment="1">
      <alignment horizontal="center"/>
    </xf>
    <xf numFmtId="0" fontId="111" fillId="0" borderId="0" xfId="3" applyFont="1" applyBorder="1" applyAlignment="1">
      <alignment horizontal="center" wrapText="1"/>
    </xf>
    <xf numFmtId="0" fontId="122" fillId="0" borderId="82" xfId="3" applyFont="1" applyBorder="1" applyAlignment="1">
      <alignment horizontal="center"/>
    </xf>
    <xf numFmtId="0" fontId="123" fillId="0" borderId="82" xfId="3" applyFont="1" applyBorder="1" applyAlignment="1">
      <alignment horizontal="center"/>
    </xf>
    <xf numFmtId="0" fontId="111" fillId="0" borderId="86" xfId="3" applyFont="1" applyBorder="1" applyAlignment="1">
      <alignment horizontal="center"/>
    </xf>
    <xf numFmtId="165" fontId="124" fillId="0" borderId="87" xfId="1" applyNumberFormat="1" applyFont="1" applyBorder="1" applyAlignment="1">
      <alignment horizontal="center"/>
    </xf>
    <xf numFmtId="165" fontId="125" fillId="0" borderId="88" xfId="1" applyNumberFormat="1" applyFont="1" applyBorder="1" applyAlignment="1">
      <alignment horizontal="center"/>
    </xf>
    <xf numFmtId="9" fontId="126" fillId="0" borderId="0" xfId="4" applyFont="1" applyBorder="1" applyAlignment="1">
      <alignment horizontal="center"/>
    </xf>
    <xf numFmtId="9" fontId="101" fillId="0" borderId="0" xfId="1" applyNumberFormat="1" applyFont="1" applyBorder="1"/>
    <xf numFmtId="8" fontId="101" fillId="0" borderId="0" xfId="1" applyNumberFormat="1" applyFont="1" applyBorder="1" applyAlignment="1">
      <alignment horizontal="center"/>
    </xf>
    <xf numFmtId="8" fontId="127" fillId="0" borderId="0" xfId="1" applyNumberFormat="1" applyFont="1" applyBorder="1" applyAlignment="1">
      <alignment horizontal="right"/>
    </xf>
    <xf numFmtId="164" fontId="127" fillId="0" borderId="82" xfId="3" applyNumberFormat="1" applyFont="1" applyBorder="1" applyAlignment="1">
      <alignment horizontal="center"/>
    </xf>
    <xf numFmtId="0" fontId="111" fillId="0" borderId="89" xfId="3" applyFont="1" applyBorder="1" applyAlignment="1">
      <alignment horizontal="center"/>
    </xf>
    <xf numFmtId="165" fontId="124" fillId="0" borderId="0" xfId="1" applyNumberFormat="1" applyFont="1" applyBorder="1" applyAlignment="1">
      <alignment horizontal="center"/>
    </xf>
    <xf numFmtId="165" fontId="128" fillId="0" borderId="90" xfId="1" applyNumberFormat="1" applyFont="1" applyBorder="1" applyAlignment="1">
      <alignment horizontal="center"/>
    </xf>
    <xf numFmtId="165" fontId="109" fillId="0" borderId="0" xfId="1" applyNumberFormat="1" applyFont="1" applyBorder="1" applyAlignment="1">
      <alignment horizontal="center"/>
    </xf>
    <xf numFmtId="8" fontId="101" fillId="0" borderId="0" xfId="3" applyNumberFormat="1" applyFont="1" applyBorder="1" applyAlignment="1">
      <alignment horizontal="center"/>
    </xf>
    <xf numFmtId="9" fontId="111" fillId="0" borderId="0" xfId="4" applyFont="1" applyBorder="1" applyAlignment="1">
      <alignment horizontal="center"/>
    </xf>
    <xf numFmtId="164" fontId="127" fillId="0" borderId="82" xfId="4" applyNumberFormat="1" applyFont="1" applyBorder="1" applyAlignment="1">
      <alignment horizontal="center"/>
    </xf>
    <xf numFmtId="0" fontId="101" fillId="0" borderId="0" xfId="1" applyNumberFormat="1" applyFont="1"/>
    <xf numFmtId="165" fontId="129" fillId="0" borderId="0" xfId="1" applyNumberFormat="1" applyFont="1" applyBorder="1" applyAlignment="1">
      <alignment horizontal="center"/>
    </xf>
    <xf numFmtId="10" fontId="101" fillId="0" borderId="0" xfId="3" applyNumberFormat="1" applyFont="1" applyBorder="1"/>
    <xf numFmtId="10" fontId="101" fillId="0" borderId="0" xfId="1" applyNumberFormat="1" applyFont="1" applyBorder="1"/>
    <xf numFmtId="0" fontId="101" fillId="0" borderId="0" xfId="3" applyFont="1" applyAlignment="1">
      <alignment horizontal="left" vertical="top" wrapText="1"/>
    </xf>
    <xf numFmtId="165" fontId="127" fillId="0" borderId="0" xfId="1" applyNumberFormat="1" applyFont="1" applyBorder="1" applyAlignment="1">
      <alignment horizontal="center"/>
    </xf>
    <xf numFmtId="0" fontId="104" fillId="0" borderId="0" xfId="3" applyNumberFormat="1" applyFont="1" applyAlignment="1">
      <alignment vertical="center"/>
    </xf>
    <xf numFmtId="8" fontId="114" fillId="0" borderId="0" xfId="3" applyNumberFormat="1" applyFont="1" applyBorder="1"/>
    <xf numFmtId="165" fontId="127" fillId="0" borderId="0" xfId="3" applyNumberFormat="1" applyFont="1" applyBorder="1" applyAlignment="1">
      <alignment horizontal="center"/>
    </xf>
    <xf numFmtId="165" fontId="130" fillId="0" borderId="0" xfId="1" applyNumberFormat="1" applyFont="1" applyBorder="1" applyAlignment="1">
      <alignment horizontal="center"/>
    </xf>
    <xf numFmtId="0" fontId="101" fillId="0" borderId="0" xfId="3" applyFont="1" applyAlignment="1">
      <alignment horizontal="left" vertical="top"/>
    </xf>
    <xf numFmtId="0" fontId="111" fillId="0" borderId="91" xfId="3" applyFont="1" applyBorder="1" applyAlignment="1">
      <alignment horizontal="center"/>
    </xf>
    <xf numFmtId="165" fontId="127" fillId="0" borderId="92" xfId="3" applyNumberFormat="1" applyFont="1" applyBorder="1" applyAlignment="1">
      <alignment horizontal="center"/>
    </xf>
    <xf numFmtId="165" fontId="128" fillId="0" borderId="93" xfId="1" applyNumberFormat="1" applyFont="1" applyBorder="1" applyAlignment="1">
      <alignment horizontal="center"/>
    </xf>
    <xf numFmtId="164" fontId="120" fillId="0" borderId="80" xfId="3" applyNumberFormat="1" applyFont="1" applyBorder="1" applyAlignment="1">
      <alignment horizontal="center"/>
    </xf>
    <xf numFmtId="0" fontId="121" fillId="0" borderId="0" xfId="3" applyFont="1" applyAlignment="1">
      <alignment horizontal="center"/>
    </xf>
    <xf numFmtId="164" fontId="133" fillId="0" borderId="74" xfId="3" applyNumberFormat="1" applyFont="1" applyBorder="1" applyAlignment="1">
      <alignment horizontal="center"/>
    </xf>
    <xf numFmtId="164" fontId="128" fillId="0" borderId="75" xfId="3" applyNumberFormat="1" applyFont="1" applyBorder="1" applyAlignment="1">
      <alignment horizontal="center"/>
    </xf>
    <xf numFmtId="164" fontId="128" fillId="0" borderId="76" xfId="3" applyNumberFormat="1" applyFont="1" applyBorder="1" applyAlignment="1">
      <alignment horizontal="center"/>
    </xf>
    <xf numFmtId="0" fontId="106" fillId="0" borderId="66" xfId="3" applyFont="1" applyBorder="1" applyAlignment="1">
      <alignment horizontal="right"/>
    </xf>
    <xf numFmtId="10" fontId="113" fillId="0" borderId="73" xfId="3" applyNumberFormat="1" applyFont="1" applyBorder="1" applyAlignment="1">
      <alignment horizontal="center"/>
    </xf>
    <xf numFmtId="0" fontId="105" fillId="0" borderId="0" xfId="3" applyFont="1" applyAlignment="1">
      <alignment horizontal="left" vertical="top" wrapText="1"/>
    </xf>
    <xf numFmtId="165" fontId="39" fillId="0" borderId="0" xfId="1" applyNumberFormat="1" applyFont="1" applyBorder="1" applyAlignment="1">
      <alignment horizontal="center"/>
    </xf>
    <xf numFmtId="44" fontId="8" fillId="8" borderId="95" xfId="0" applyNumberFormat="1" applyFont="1" applyFill="1" applyBorder="1"/>
    <xf numFmtId="0" fontId="9" fillId="8" borderId="94" xfId="0" applyFont="1" applyFill="1" applyBorder="1" applyAlignment="1">
      <alignment horizontal="center" vertical="center"/>
    </xf>
    <xf numFmtId="164" fontId="19" fillId="8" borderId="96" xfId="0" applyNumberFormat="1" applyFont="1" applyFill="1" applyBorder="1" applyAlignment="1">
      <alignment horizontal="center"/>
    </xf>
    <xf numFmtId="165" fontId="52" fillId="0" borderId="90" xfId="1" applyNumberFormat="1" applyFont="1" applyBorder="1" applyAlignment="1">
      <alignment horizontal="center"/>
    </xf>
    <xf numFmtId="0" fontId="0" fillId="4" borderId="31" xfId="0" applyFill="1" applyBorder="1"/>
    <xf numFmtId="0" fontId="0" fillId="16" borderId="52" xfId="0" applyFill="1" applyBorder="1" applyAlignment="1"/>
    <xf numFmtId="0" fontId="0" fillId="16" borderId="0" xfId="0" applyFill="1" applyBorder="1" applyAlignment="1"/>
    <xf numFmtId="0" fontId="0" fillId="16" borderId="28" xfId="0" applyFill="1" applyBorder="1" applyAlignment="1"/>
    <xf numFmtId="0" fontId="0" fillId="16" borderId="52" xfId="0" applyFill="1" applyBorder="1"/>
    <xf numFmtId="0" fontId="0" fillId="16" borderId="0" xfId="0" applyFill="1" applyBorder="1"/>
    <xf numFmtId="0" fontId="0" fillId="16" borderId="28" xfId="0" applyFill="1" applyBorder="1"/>
    <xf numFmtId="0" fontId="5" fillId="16" borderId="0" xfId="0" applyFont="1" applyFill="1" applyBorder="1"/>
    <xf numFmtId="0" fontId="0" fillId="16" borderId="54" xfId="0" applyFill="1" applyBorder="1"/>
    <xf numFmtId="0" fontId="0" fillId="16" borderId="31" xfId="0" applyFill="1" applyBorder="1"/>
    <xf numFmtId="0" fontId="0" fillId="16" borderId="55" xfId="0" applyFill="1" applyBorder="1"/>
    <xf numFmtId="0" fontId="0" fillId="10" borderId="52" xfId="0" applyFill="1" applyBorder="1"/>
    <xf numFmtId="0" fontId="0" fillId="10" borderId="0" xfId="0" applyFill="1" applyBorder="1"/>
    <xf numFmtId="0" fontId="0" fillId="10" borderId="28" xfId="0" applyFill="1" applyBorder="1"/>
    <xf numFmtId="0" fontId="9" fillId="10" borderId="52" xfId="0" applyFont="1" applyFill="1" applyBorder="1"/>
    <xf numFmtId="9" fontId="9" fillId="10" borderId="0" xfId="0" applyNumberFormat="1" applyFont="1" applyFill="1" applyBorder="1" applyAlignment="1">
      <alignment horizontal="center"/>
    </xf>
    <xf numFmtId="0" fontId="0" fillId="10" borderId="54" xfId="0" applyFill="1" applyBorder="1"/>
    <xf numFmtId="0" fontId="0" fillId="10" borderId="31" xfId="0" applyFill="1" applyBorder="1"/>
    <xf numFmtId="0" fontId="0" fillId="10" borderId="55" xfId="0" applyFill="1" applyBorder="1"/>
    <xf numFmtId="0" fontId="0" fillId="3" borderId="49" xfId="0" applyFill="1" applyBorder="1"/>
    <xf numFmtId="0" fontId="0" fillId="3" borderId="64" xfId="0" applyFill="1" applyBorder="1"/>
    <xf numFmtId="0" fontId="0" fillId="3" borderId="65" xfId="0" applyFill="1" applyBorder="1"/>
    <xf numFmtId="0" fontId="0" fillId="4" borderId="64" xfId="0" applyFill="1" applyBorder="1"/>
    <xf numFmtId="0" fontId="0" fillId="17" borderId="49" xfId="0" applyFill="1" applyBorder="1"/>
    <xf numFmtId="0" fontId="0" fillId="17" borderId="64" xfId="0" applyFill="1" applyBorder="1"/>
    <xf numFmtId="0" fontId="0" fillId="17" borderId="65" xfId="0" applyFill="1" applyBorder="1"/>
    <xf numFmtId="0" fontId="0" fillId="4" borderId="0" xfId="0" applyFill="1" applyBorder="1"/>
    <xf numFmtId="0" fontId="0" fillId="3" borderId="52" xfId="0" applyFill="1" applyBorder="1"/>
    <xf numFmtId="0" fontId="0" fillId="3" borderId="0" xfId="0" applyFill="1" applyBorder="1"/>
    <xf numFmtId="0" fontId="0" fillId="3" borderId="28" xfId="0" applyFill="1" applyBorder="1"/>
    <xf numFmtId="0" fontId="0" fillId="17" borderId="52" xfId="0" applyFill="1" applyBorder="1"/>
    <xf numFmtId="0" fontId="0" fillId="17" borderId="0" xfId="0" applyFill="1" applyBorder="1"/>
    <xf numFmtId="0" fontId="0" fillId="17" borderId="28" xfId="0" applyFill="1" applyBorder="1"/>
    <xf numFmtId="0" fontId="6" fillId="3" borderId="0" xfId="0" applyFont="1" applyFill="1" applyBorder="1" applyAlignment="1"/>
    <xf numFmtId="166" fontId="6" fillId="17" borderId="0" xfId="18" applyNumberFormat="1" applyFont="1" applyFill="1" applyBorder="1"/>
    <xf numFmtId="9" fontId="6" fillId="3" borderId="0" xfId="0" applyNumberFormat="1" applyFont="1" applyFill="1" applyBorder="1"/>
    <xf numFmtId="9" fontId="6" fillId="16" borderId="105" xfId="0" applyNumberFormat="1" applyFont="1" applyFill="1" applyBorder="1"/>
    <xf numFmtId="0" fontId="0" fillId="16" borderId="72" xfId="0" applyFill="1" applyBorder="1"/>
    <xf numFmtId="166" fontId="6" fillId="3" borderId="0" xfId="18" applyNumberFormat="1" applyFont="1" applyFill="1" applyBorder="1"/>
    <xf numFmtId="166" fontId="6" fillId="16" borderId="68" xfId="18" applyNumberFormat="1" applyFont="1" applyFill="1" applyBorder="1" applyAlignment="1">
      <alignment horizontal="center"/>
    </xf>
    <xf numFmtId="0" fontId="0" fillId="17" borderId="0" xfId="0" applyFill="1" applyBorder="1" applyAlignment="1">
      <alignment horizontal="left"/>
    </xf>
    <xf numFmtId="0" fontId="0" fillId="17" borderId="28" xfId="0" applyFill="1" applyBorder="1" applyAlignment="1">
      <alignment horizontal="left"/>
    </xf>
    <xf numFmtId="164" fontId="6" fillId="3" borderId="0" xfId="0" applyNumberFormat="1" applyFont="1" applyFill="1" applyBorder="1"/>
    <xf numFmtId="0" fontId="5" fillId="3" borderId="52" xfId="0" applyFont="1" applyFill="1" applyBorder="1" applyAlignment="1">
      <alignment horizontal="center"/>
    </xf>
    <xf numFmtId="0" fontId="5" fillId="3" borderId="0" xfId="0" applyFont="1" applyFill="1" applyBorder="1" applyAlignment="1">
      <alignment horizontal="center"/>
    </xf>
    <xf numFmtId="164" fontId="9" fillId="3" borderId="28" xfId="0" applyNumberFormat="1" applyFont="1" applyFill="1" applyBorder="1"/>
    <xf numFmtId="0" fontId="5" fillId="17" borderId="52" xfId="0" applyFont="1" applyFill="1" applyBorder="1" applyAlignment="1">
      <alignment horizontal="center"/>
    </xf>
    <xf numFmtId="164" fontId="6" fillId="17" borderId="0" xfId="0" applyNumberFormat="1" applyFont="1" applyFill="1" applyBorder="1"/>
    <xf numFmtId="0" fontId="5" fillId="17" borderId="0" xfId="0" applyFont="1" applyFill="1" applyBorder="1" applyAlignment="1">
      <alignment horizontal="center"/>
    </xf>
    <xf numFmtId="0" fontId="5" fillId="3" borderId="0" xfId="0" applyFont="1" applyFill="1" applyBorder="1" applyAlignment="1"/>
    <xf numFmtId="0" fontId="0" fillId="3" borderId="28" xfId="0" applyFill="1" applyBorder="1" applyAlignment="1"/>
    <xf numFmtId="0" fontId="5" fillId="3" borderId="0" xfId="0" applyFont="1" applyFill="1" applyBorder="1"/>
    <xf numFmtId="0" fontId="0" fillId="3" borderId="54" xfId="0" applyFill="1" applyBorder="1"/>
    <xf numFmtId="0" fontId="0" fillId="3" borderId="31" xfId="0" applyFill="1" applyBorder="1"/>
    <xf numFmtId="0" fontId="0" fillId="3" borderId="55" xfId="0" applyFill="1" applyBorder="1"/>
    <xf numFmtId="0" fontId="0" fillId="17" borderId="54" xfId="0" applyFill="1" applyBorder="1"/>
    <xf numFmtId="0" fontId="0" fillId="17" borderId="31" xfId="0" applyFill="1" applyBorder="1"/>
    <xf numFmtId="0" fontId="99" fillId="18" borderId="0" xfId="0" applyFont="1" applyFill="1" applyBorder="1"/>
    <xf numFmtId="0" fontId="0" fillId="18" borderId="0" xfId="0" applyFill="1" applyBorder="1"/>
    <xf numFmtId="0" fontId="0" fillId="18" borderId="28" xfId="0" applyFill="1" applyBorder="1"/>
    <xf numFmtId="0" fontId="99" fillId="18" borderId="28" xfId="0" applyFont="1" applyFill="1" applyBorder="1"/>
    <xf numFmtId="0" fontId="99" fillId="18" borderId="31" xfId="0" applyFont="1" applyFill="1" applyBorder="1"/>
    <xf numFmtId="0" fontId="0" fillId="18" borderId="31" xfId="0" applyFill="1" applyBorder="1"/>
    <xf numFmtId="0" fontId="0" fillId="18" borderId="55" xfId="0" applyFill="1" applyBorder="1"/>
    <xf numFmtId="164" fontId="0" fillId="19" borderId="109" xfId="0" applyNumberFormat="1" applyFill="1" applyBorder="1" applyAlignment="1">
      <alignment horizontal="right"/>
    </xf>
    <xf numFmtId="2" fontId="0" fillId="0" borderId="0" xfId="0" applyNumberFormat="1"/>
    <xf numFmtId="2" fontId="0" fillId="20" borderId="112" xfId="0" applyNumberFormat="1" applyFill="1" applyBorder="1"/>
    <xf numFmtId="164" fontId="0" fillId="19" borderId="109" xfId="1" applyNumberFormat="1" applyFont="1" applyFill="1" applyBorder="1" applyAlignment="1">
      <alignment horizontal="right"/>
    </xf>
    <xf numFmtId="0" fontId="5" fillId="10" borderId="0" xfId="0" applyFont="1" applyFill="1" applyBorder="1" applyAlignment="1">
      <alignment horizontal="center"/>
    </xf>
    <xf numFmtId="0" fontId="0" fillId="10" borderId="0" xfId="0" applyFill="1" applyBorder="1" applyAlignment="1">
      <alignment horizontal="center"/>
    </xf>
    <xf numFmtId="164" fontId="6" fillId="10" borderId="0" xfId="0" applyNumberFormat="1" applyFont="1" applyFill="1" applyBorder="1" applyAlignment="1">
      <alignment horizontal="center"/>
    </xf>
    <xf numFmtId="0" fontId="5" fillId="0" borderId="119" xfId="0" applyNumberFormat="1" applyFont="1" applyBorder="1"/>
    <xf numFmtId="0" fontId="5" fillId="0" borderId="121" xfId="0" applyNumberFormat="1" applyFont="1" applyBorder="1"/>
    <xf numFmtId="1" fontId="139" fillId="12" borderId="122" xfId="18" applyNumberFormat="1" applyFont="1" applyFill="1" applyBorder="1" applyAlignment="1">
      <alignment horizontal="center" vertical="top"/>
    </xf>
    <xf numFmtId="0" fontId="138" fillId="12" borderId="122" xfId="1" applyNumberFormat="1" applyFont="1" applyFill="1" applyBorder="1" applyAlignment="1">
      <alignment horizontal="center" wrapText="1"/>
    </xf>
    <xf numFmtId="1" fontId="140" fillId="15" borderId="122" xfId="1" applyNumberFormat="1" applyFont="1" applyFill="1" applyBorder="1" applyAlignment="1">
      <alignment horizontal="center"/>
    </xf>
    <xf numFmtId="0" fontId="5" fillId="0" borderId="123" xfId="0" applyNumberFormat="1" applyFont="1" applyBorder="1"/>
    <xf numFmtId="0" fontId="27" fillId="0" borderId="44" xfId="3" applyFont="1" applyBorder="1"/>
    <xf numFmtId="0" fontId="27" fillId="0" borderId="45" xfId="3" applyFont="1" applyBorder="1"/>
    <xf numFmtId="0" fontId="50" fillId="0" borderId="130" xfId="3" applyFont="1" applyBorder="1" applyAlignment="1">
      <alignment vertical="center" wrapText="1"/>
    </xf>
    <xf numFmtId="0" fontId="50" fillId="0" borderId="131" xfId="3" applyFont="1" applyBorder="1" applyAlignment="1">
      <alignment vertical="center" wrapText="1"/>
    </xf>
    <xf numFmtId="0" fontId="78" fillId="0" borderId="132" xfId="3" applyFont="1" applyBorder="1" applyAlignment="1">
      <alignment vertical="center" wrapText="1"/>
    </xf>
    <xf numFmtId="0" fontId="6" fillId="0" borderId="0" xfId="3" applyFont="1" applyBorder="1" applyAlignment="1">
      <alignment horizontal="center" wrapText="1"/>
    </xf>
    <xf numFmtId="0" fontId="58" fillId="0" borderId="0" xfId="9" applyFont="1" applyBorder="1" applyAlignment="1">
      <alignment horizontal="center" vertical="center" wrapText="1"/>
    </xf>
    <xf numFmtId="0" fontId="60" fillId="0" borderId="0" xfId="9" applyFont="1" applyBorder="1" applyAlignment="1">
      <alignment horizontal="center" vertical="center" wrapText="1"/>
    </xf>
    <xf numFmtId="0" fontId="88" fillId="2" borderId="49" xfId="9" applyFont="1" applyFill="1" applyBorder="1" applyAlignment="1">
      <alignment horizontal="center" vertical="center" wrapText="1"/>
    </xf>
    <xf numFmtId="0" fontId="88" fillId="2" borderId="64" xfId="9" applyFont="1" applyFill="1" applyBorder="1" applyAlignment="1">
      <alignment horizontal="center" vertical="center" wrapText="1"/>
    </xf>
    <xf numFmtId="0" fontId="88" fillId="2" borderId="65" xfId="9" applyFont="1" applyFill="1" applyBorder="1" applyAlignment="1">
      <alignment horizontal="center" vertical="center" wrapText="1"/>
    </xf>
    <xf numFmtId="0" fontId="88" fillId="2" borderId="52" xfId="9" applyFont="1" applyFill="1" applyBorder="1" applyAlignment="1">
      <alignment horizontal="center" vertical="center" wrapText="1"/>
    </xf>
    <xf numFmtId="0" fontId="88" fillId="2" borderId="0" xfId="9" applyFont="1" applyFill="1" applyBorder="1" applyAlignment="1">
      <alignment horizontal="center" vertical="center" wrapText="1"/>
    </xf>
    <xf numFmtId="0" fontId="88" fillId="2" borderId="28" xfId="9" applyFont="1" applyFill="1" applyBorder="1" applyAlignment="1">
      <alignment horizontal="center" vertical="center" wrapText="1"/>
    </xf>
    <xf numFmtId="2" fontId="61" fillId="4" borderId="0" xfId="9" applyNumberFormat="1" applyFont="1" applyFill="1" applyBorder="1" applyAlignment="1" applyProtection="1">
      <alignment horizontal="center"/>
    </xf>
    <xf numFmtId="0" fontId="61" fillId="4" borderId="0" xfId="9" applyFont="1" applyFill="1" applyBorder="1" applyAlignment="1" applyProtection="1">
      <alignment horizontal="center"/>
    </xf>
    <xf numFmtId="0" fontId="55" fillId="0" borderId="0" xfId="9" applyFont="1" applyAlignment="1">
      <alignment horizontal="center" wrapText="1"/>
    </xf>
    <xf numFmtId="0" fontId="61" fillId="4" borderId="0" xfId="9" applyFont="1" applyFill="1" applyBorder="1" applyAlignment="1" applyProtection="1">
      <alignment horizontal="right"/>
    </xf>
    <xf numFmtId="0" fontId="61" fillId="4" borderId="0" xfId="9" applyNumberFormat="1" applyFont="1" applyFill="1" applyBorder="1" applyAlignment="1" applyProtection="1">
      <alignment horizontal="center" wrapText="1"/>
    </xf>
    <xf numFmtId="164" fontId="62" fillId="4" borderId="0" xfId="9" applyNumberFormat="1" applyFont="1" applyFill="1" applyBorder="1" applyAlignment="1" applyProtection="1">
      <alignment horizontal="center" wrapText="1"/>
    </xf>
    <xf numFmtId="164" fontId="73" fillId="4" borderId="0" xfId="9" applyNumberFormat="1" applyFont="1" applyFill="1" applyBorder="1" applyAlignment="1" applyProtection="1">
      <alignment horizontal="center"/>
    </xf>
    <xf numFmtId="0" fontId="90" fillId="2" borderId="52" xfId="9" applyFont="1" applyFill="1" applyBorder="1" applyAlignment="1">
      <alignment horizontal="center" wrapText="1"/>
    </xf>
    <xf numFmtId="0" fontId="90" fillId="2" borderId="0" xfId="9" applyFont="1" applyFill="1" applyBorder="1" applyAlignment="1">
      <alignment horizontal="center" wrapText="1"/>
    </xf>
    <xf numFmtId="0" fontId="90" fillId="2" borderId="28" xfId="9" applyFont="1" applyFill="1" applyBorder="1" applyAlignment="1">
      <alignment horizontal="center" wrapText="1"/>
    </xf>
    <xf numFmtId="0" fontId="90" fillId="2" borderId="54" xfId="9" applyFont="1" applyFill="1" applyBorder="1" applyAlignment="1">
      <alignment horizontal="center" wrapText="1"/>
    </xf>
    <xf numFmtId="0" fontId="90" fillId="2" borderId="31" xfId="9" applyFont="1" applyFill="1" applyBorder="1" applyAlignment="1">
      <alignment horizontal="center" wrapText="1"/>
    </xf>
    <xf numFmtId="0" fontId="90" fillId="2" borderId="55" xfId="9" applyFont="1" applyFill="1" applyBorder="1" applyAlignment="1">
      <alignment horizontal="center" wrapText="1"/>
    </xf>
    <xf numFmtId="0" fontId="4" fillId="0" borderId="0" xfId="9" applyAlignment="1">
      <alignment horizontal="center"/>
    </xf>
    <xf numFmtId="164" fontId="69" fillId="19" borderId="110" xfId="9" applyNumberFormat="1" applyFont="1" applyFill="1" applyBorder="1" applyAlignment="1">
      <alignment horizontal="center" vertical="center"/>
    </xf>
    <xf numFmtId="164" fontId="69" fillId="19" borderId="111" xfId="9" applyNumberFormat="1" applyFont="1" applyFill="1" applyBorder="1" applyAlignment="1">
      <alignment horizontal="center" vertical="center"/>
    </xf>
    <xf numFmtId="0" fontId="60" fillId="20" borderId="113" xfId="9" applyFont="1" applyFill="1" applyBorder="1" applyAlignment="1">
      <alignment horizontal="center"/>
    </xf>
    <xf numFmtId="0" fontId="60" fillId="20" borderId="114" xfId="9" applyFont="1" applyFill="1" applyBorder="1" applyAlignment="1">
      <alignment horizontal="center"/>
    </xf>
    <xf numFmtId="0" fontId="69" fillId="19" borderId="110" xfId="9" applyFont="1" applyFill="1" applyBorder="1" applyAlignment="1">
      <alignment horizontal="center"/>
    </xf>
    <xf numFmtId="0" fontId="69" fillId="19" borderId="111" xfId="9" applyFont="1" applyFill="1" applyBorder="1" applyAlignment="1">
      <alignment horizontal="center"/>
    </xf>
    <xf numFmtId="0" fontId="33" fillId="4" borderId="70" xfId="0" applyFont="1" applyFill="1" applyBorder="1" applyAlignment="1">
      <alignment horizontal="center" vertical="center" wrapText="1"/>
    </xf>
    <xf numFmtId="0" fontId="33" fillId="4" borderId="31" xfId="0" applyFont="1" applyFill="1" applyBorder="1" applyAlignment="1">
      <alignment horizontal="center" vertical="center" wrapText="1"/>
    </xf>
    <xf numFmtId="0" fontId="33" fillId="4" borderId="55"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8" fillId="2" borderId="52"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92" fillId="11" borderId="66" xfId="0" applyFont="1" applyFill="1" applyBorder="1" applyAlignment="1">
      <alignment horizontal="center" vertical="center"/>
    </xf>
    <xf numFmtId="0" fontId="92" fillId="11" borderId="67" xfId="0" applyFont="1" applyFill="1" applyBorder="1" applyAlignment="1">
      <alignment horizontal="center" vertical="center"/>
    </xf>
    <xf numFmtId="0" fontId="8" fillId="2" borderId="105" xfId="0" applyFont="1" applyFill="1" applyBorder="1" applyAlignment="1">
      <alignment horizontal="center" wrapText="1"/>
    </xf>
    <xf numFmtId="0" fontId="8" fillId="2" borderId="106" xfId="0" applyFont="1" applyFill="1" applyBorder="1" applyAlignment="1">
      <alignment horizontal="center" wrapText="1"/>
    </xf>
    <xf numFmtId="0" fontId="8" fillId="2" borderId="125" xfId="0" applyFont="1" applyFill="1" applyBorder="1" applyAlignment="1">
      <alignment horizontal="center" wrapText="1"/>
    </xf>
    <xf numFmtId="0" fontId="8" fillId="2" borderId="68" xfId="0" applyFont="1" applyFill="1" applyBorder="1" applyAlignment="1">
      <alignment horizontal="center" wrapText="1"/>
    </xf>
    <xf numFmtId="0" fontId="8" fillId="2" borderId="4" xfId="0" applyFont="1" applyFill="1" applyBorder="1" applyAlignment="1">
      <alignment horizontal="center" wrapText="1"/>
    </xf>
    <xf numFmtId="0" fontId="8" fillId="2" borderId="126" xfId="0" applyFont="1" applyFill="1" applyBorder="1" applyAlignment="1">
      <alignment horizontal="center" wrapText="1"/>
    </xf>
    <xf numFmtId="0" fontId="138" fillId="15" borderId="122" xfId="1" applyNumberFormat="1" applyFont="1" applyFill="1" applyBorder="1" applyAlignment="1">
      <alignment horizontal="center" wrapText="1"/>
    </xf>
    <xf numFmtId="0" fontId="138" fillId="15" borderId="122" xfId="1" applyNumberFormat="1" applyFont="1" applyFill="1" applyBorder="1" applyAlignment="1">
      <alignment horizontal="center" vertical="center" wrapText="1"/>
    </xf>
    <xf numFmtId="0" fontId="138" fillId="15" borderId="124" xfId="1" applyNumberFormat="1" applyFont="1" applyFill="1" applyBorder="1" applyAlignment="1">
      <alignment horizontal="center" vertical="center" wrapText="1"/>
    </xf>
    <xf numFmtId="0" fontId="83" fillId="2" borderId="49" xfId="0" applyFont="1" applyFill="1" applyBorder="1" applyAlignment="1">
      <alignment horizontal="center" vertical="center" wrapText="1"/>
    </xf>
    <xf numFmtId="0" fontId="83" fillId="2" borderId="64" xfId="0" applyFont="1" applyFill="1" applyBorder="1" applyAlignment="1">
      <alignment horizontal="center" vertical="center" wrapText="1"/>
    </xf>
    <xf numFmtId="0" fontId="83" fillId="2" borderId="65" xfId="0" applyFont="1" applyFill="1" applyBorder="1" applyAlignment="1">
      <alignment horizontal="center" vertical="center" wrapText="1"/>
    </xf>
    <xf numFmtId="0" fontId="83" fillId="2" borderId="54" xfId="0" applyFont="1" applyFill="1" applyBorder="1" applyAlignment="1">
      <alignment horizontal="center" vertical="center" wrapText="1"/>
    </xf>
    <xf numFmtId="0" fontId="83" fillId="2" borderId="31" xfId="0" applyFont="1" applyFill="1" applyBorder="1" applyAlignment="1">
      <alignment horizontal="center" vertical="center" wrapText="1"/>
    </xf>
    <xf numFmtId="0" fontId="83" fillId="2" borderId="55" xfId="0" applyFont="1" applyFill="1" applyBorder="1" applyAlignment="1">
      <alignment horizontal="center" vertical="center" wrapText="1"/>
    </xf>
    <xf numFmtId="10" fontId="85" fillId="15" borderId="74" xfId="0" applyNumberFormat="1" applyFont="1" applyFill="1" applyBorder="1" applyAlignment="1">
      <alignment horizontal="center" vertical="center" wrapText="1"/>
    </xf>
    <xf numFmtId="10" fontId="85" fillId="15" borderId="75" xfId="0" applyNumberFormat="1" applyFont="1" applyFill="1" applyBorder="1" applyAlignment="1">
      <alignment horizontal="center" vertical="center" wrapText="1"/>
    </xf>
    <xf numFmtId="0" fontId="85" fillId="15" borderId="74" xfId="0" applyFont="1" applyFill="1" applyBorder="1" applyAlignment="1">
      <alignment horizontal="center" vertical="center" wrapText="1"/>
    </xf>
    <xf numFmtId="0" fontId="85" fillId="15" borderId="75" xfId="0" applyFont="1" applyFill="1" applyBorder="1" applyAlignment="1">
      <alignment horizontal="center" vertical="center" wrapText="1"/>
    </xf>
    <xf numFmtId="0" fontId="137" fillId="15" borderId="115" xfId="0" applyNumberFormat="1" applyFont="1" applyFill="1" applyBorder="1" applyAlignment="1">
      <alignment horizontal="center" vertical="center"/>
    </xf>
    <xf numFmtId="0" fontId="137" fillId="15" borderId="116" xfId="0" applyNumberFormat="1" applyFont="1" applyFill="1" applyBorder="1" applyAlignment="1">
      <alignment horizontal="center" vertical="center"/>
    </xf>
    <xf numFmtId="0" fontId="137" fillId="15" borderId="117" xfId="0" applyNumberFormat="1" applyFont="1" applyFill="1" applyBorder="1" applyAlignment="1">
      <alignment horizontal="center" vertical="center"/>
    </xf>
    <xf numFmtId="0" fontId="137" fillId="15" borderId="118" xfId="0" applyNumberFormat="1" applyFont="1" applyFill="1" applyBorder="1" applyAlignment="1">
      <alignment horizontal="center" vertical="center"/>
    </xf>
    <xf numFmtId="0" fontId="138" fillId="12" borderId="120" xfId="1" applyNumberFormat="1" applyFont="1" applyFill="1" applyBorder="1" applyAlignment="1">
      <alignment horizontal="center" vertical="center" wrapText="1"/>
    </xf>
    <xf numFmtId="0" fontId="138" fillId="12" borderId="122" xfId="1" applyNumberFormat="1" applyFont="1" applyFill="1" applyBorder="1" applyAlignment="1">
      <alignment horizontal="center" vertical="center" wrapText="1"/>
    </xf>
    <xf numFmtId="0" fontId="10" fillId="4" borderId="0" xfId="2" applyFont="1" applyFill="1" applyAlignment="1">
      <alignment horizontal="left" vertical="top"/>
    </xf>
    <xf numFmtId="0" fontId="10" fillId="0" borderId="0" xfId="2" applyFont="1" applyAlignment="1" applyProtection="1">
      <alignment horizontal="left" vertical="center"/>
      <protection locked="0"/>
    </xf>
    <xf numFmtId="0" fontId="14" fillId="0" borderId="0" xfId="2" applyFont="1" applyAlignment="1">
      <alignment vertical="center" textRotation="89"/>
    </xf>
    <xf numFmtId="0" fontId="16" fillId="0" borderId="0" xfId="2" applyFont="1" applyAlignment="1">
      <alignment horizontal="center" vertical="top" wrapText="1"/>
    </xf>
    <xf numFmtId="0" fontId="18" fillId="0" borderId="0" xfId="2" applyFont="1" applyAlignment="1">
      <alignment horizontal="left" vertical="center" wrapText="1"/>
    </xf>
    <xf numFmtId="0" fontId="36" fillId="0" borderId="0" xfId="2" applyFont="1" applyAlignment="1">
      <alignment horizontal="center"/>
    </xf>
    <xf numFmtId="0" fontId="10" fillId="0" borderId="0" xfId="2" applyFont="1" applyAlignment="1" applyProtection="1">
      <alignment horizontal="left" vertical="top" wrapText="1"/>
      <protection locked="0"/>
    </xf>
    <xf numFmtId="164" fontId="5" fillId="0" borderId="0" xfId="3" applyNumberFormat="1" applyAlignment="1">
      <alignment horizontal="center" wrapText="1"/>
    </xf>
    <xf numFmtId="0" fontId="76" fillId="0" borderId="0" xfId="3" applyFont="1" applyAlignment="1">
      <alignment horizontal="center" vertical="center"/>
    </xf>
    <xf numFmtId="0" fontId="77" fillId="0" borderId="0" xfId="3" applyFont="1" applyAlignment="1">
      <alignment horizontal="center" vertical="center"/>
    </xf>
    <xf numFmtId="0" fontId="19" fillId="0" borderId="0" xfId="3" applyFont="1" applyBorder="1" applyAlignment="1">
      <alignment horizontal="center" vertical="center"/>
    </xf>
    <xf numFmtId="0" fontId="27" fillId="0" borderId="15" xfId="3" applyFont="1" applyBorder="1" applyAlignment="1">
      <alignment horizontal="center" wrapText="1"/>
    </xf>
    <xf numFmtId="0" fontId="27" fillId="0" borderId="0" xfId="3" applyFont="1" applyBorder="1" applyAlignment="1">
      <alignment horizontal="center" wrapText="1"/>
    </xf>
    <xf numFmtId="0" fontId="27" fillId="0" borderId="16" xfId="3" applyFont="1" applyBorder="1" applyAlignment="1">
      <alignment horizontal="center" wrapText="1"/>
    </xf>
    <xf numFmtId="0" fontId="27" fillId="0" borderId="18" xfId="3" applyFont="1" applyBorder="1" applyAlignment="1">
      <alignment horizontal="center" wrapText="1"/>
    </xf>
    <xf numFmtId="0" fontId="78" fillId="0" borderId="127" xfId="3" applyFont="1" applyBorder="1" applyAlignment="1">
      <alignment horizontal="center" vertical="center" wrapText="1"/>
    </xf>
    <xf numFmtId="0" fontId="78" fillId="0" borderId="128" xfId="3" applyFont="1" applyBorder="1" applyAlignment="1">
      <alignment horizontal="center" vertical="center" wrapText="1"/>
    </xf>
    <xf numFmtId="0" fontId="78" fillId="0" borderId="129" xfId="3" applyFont="1" applyBorder="1" applyAlignment="1">
      <alignment horizontal="center" vertical="center" wrapText="1"/>
    </xf>
    <xf numFmtId="0" fontId="78" fillId="0" borderId="17" xfId="3" applyFont="1" applyBorder="1" applyAlignment="1">
      <alignment horizontal="center" vertical="center" wrapText="1"/>
    </xf>
    <xf numFmtId="0" fontId="78" fillId="0" borderId="0" xfId="3" applyFont="1" applyBorder="1" applyAlignment="1">
      <alignment horizontal="center" vertical="center" wrapText="1"/>
    </xf>
    <xf numFmtId="0" fontId="78" fillId="0" borderId="18" xfId="3" applyFont="1" applyBorder="1" applyAlignment="1">
      <alignment horizontal="center" vertical="center" wrapText="1"/>
    </xf>
    <xf numFmtId="0" fontId="5" fillId="0" borderId="0" xfId="3" applyAlignment="1">
      <alignment horizontal="center"/>
    </xf>
    <xf numFmtId="0" fontId="5" fillId="0" borderId="0" xfId="3" applyAlignment="1">
      <alignment horizontal="center" wrapText="1"/>
    </xf>
    <xf numFmtId="0" fontId="33" fillId="0" borderId="37" xfId="3" applyFont="1" applyBorder="1" applyAlignment="1">
      <alignment horizontal="center"/>
    </xf>
    <xf numFmtId="0" fontId="6" fillId="0" borderId="42" xfId="3" applyFont="1" applyBorder="1" applyAlignment="1">
      <alignment horizontal="left"/>
    </xf>
    <xf numFmtId="0" fontId="6" fillId="0" borderId="0" xfId="3" applyFont="1" applyBorder="1" applyAlignment="1">
      <alignment horizontal="center" wrapText="1"/>
    </xf>
    <xf numFmtId="0" fontId="6" fillId="0" borderId="42" xfId="3" applyFont="1" applyBorder="1" applyAlignment="1">
      <alignment horizontal="center" wrapText="1"/>
    </xf>
    <xf numFmtId="0" fontId="33" fillId="0" borderId="36" xfId="3" applyFont="1" applyBorder="1" applyAlignment="1">
      <alignment horizontal="center"/>
    </xf>
    <xf numFmtId="164" fontId="46" fillId="0" borderId="39" xfId="1" applyNumberFormat="1" applyFont="1" applyBorder="1" applyAlignment="1">
      <alignment horizontal="center"/>
    </xf>
    <xf numFmtId="164" fontId="46" fillId="0" borderId="0" xfId="1" applyNumberFormat="1" applyFont="1" applyBorder="1" applyAlignment="1">
      <alignment horizontal="center"/>
    </xf>
    <xf numFmtId="0" fontId="9" fillId="0" borderId="36" xfId="3" applyFont="1" applyBorder="1" applyAlignment="1">
      <alignment horizontal="center" vertical="center" wrapText="1"/>
    </xf>
    <xf numFmtId="0" fontId="9" fillId="0" borderId="37" xfId="3" applyFont="1" applyBorder="1" applyAlignment="1">
      <alignment horizontal="center" vertical="center" wrapText="1"/>
    </xf>
    <xf numFmtId="0" fontId="9" fillId="0" borderId="38" xfId="3" applyFont="1" applyBorder="1" applyAlignment="1">
      <alignment horizontal="center" vertical="center" wrapText="1"/>
    </xf>
    <xf numFmtId="0" fontId="9" fillId="0" borderId="39" xfId="3" applyFont="1" applyBorder="1" applyAlignment="1">
      <alignment horizontal="center" vertical="center" wrapText="1"/>
    </xf>
    <xf numFmtId="0" fontId="9" fillId="0" borderId="0" xfId="3" applyFont="1" applyBorder="1" applyAlignment="1">
      <alignment horizontal="center" vertical="center" wrapText="1"/>
    </xf>
    <xf numFmtId="0" fontId="9" fillId="0" borderId="40" xfId="3" applyFont="1" applyBorder="1" applyAlignment="1">
      <alignment horizontal="center" vertical="center" wrapText="1"/>
    </xf>
    <xf numFmtId="0" fontId="6" fillId="0" borderId="39" xfId="3" applyFont="1" applyBorder="1" applyAlignment="1">
      <alignment horizontal="center" wrapText="1"/>
    </xf>
    <xf numFmtId="0" fontId="6" fillId="0" borderId="41" xfId="3" applyFont="1" applyBorder="1" applyAlignment="1">
      <alignment horizontal="center" wrapText="1"/>
    </xf>
    <xf numFmtId="0" fontId="19" fillId="0" borderId="0" xfId="3" applyFont="1" applyBorder="1" applyAlignment="1">
      <alignment horizontal="right"/>
    </xf>
    <xf numFmtId="0" fontId="6" fillId="0" borderId="40" xfId="3" applyFont="1" applyBorder="1" applyAlignment="1">
      <alignment horizontal="right" wrapText="1"/>
    </xf>
    <xf numFmtId="0" fontId="6" fillId="0" borderId="43" xfId="3" applyFont="1" applyBorder="1" applyAlignment="1">
      <alignment horizontal="right" wrapText="1"/>
    </xf>
    <xf numFmtId="0" fontId="6" fillId="0" borderId="0" xfId="3" applyFont="1" applyBorder="1" applyAlignment="1">
      <alignment horizontal="left"/>
    </xf>
    <xf numFmtId="0" fontId="10" fillId="0" borderId="81" xfId="2" applyFont="1" applyBorder="1" applyAlignment="1">
      <alignment horizontal="left" vertical="center" wrapText="1"/>
    </xf>
    <xf numFmtId="0" fontId="131" fillId="0" borderId="0" xfId="2" applyFont="1" applyBorder="1" applyAlignment="1">
      <alignment horizontal="left" vertical="center" wrapText="1"/>
    </xf>
    <xf numFmtId="0" fontId="131" fillId="0" borderId="82" xfId="2" applyFont="1" applyBorder="1" applyAlignment="1">
      <alignment horizontal="left" vertical="center" wrapText="1"/>
    </xf>
    <xf numFmtId="0" fontId="131" fillId="0" borderId="83" xfId="2" applyFont="1" applyBorder="1" applyAlignment="1">
      <alignment horizontal="left" vertical="center" wrapText="1"/>
    </xf>
    <xf numFmtId="0" fontId="131" fillId="0" borderId="84" xfId="2" applyFont="1" applyBorder="1" applyAlignment="1">
      <alignment horizontal="left" vertical="center" wrapText="1"/>
    </xf>
    <xf numFmtId="0" fontId="131" fillId="0" borderId="85" xfId="2" applyFont="1" applyBorder="1" applyAlignment="1">
      <alignment horizontal="left" vertical="center" wrapText="1"/>
    </xf>
    <xf numFmtId="8" fontId="118" fillId="0" borderId="89" xfId="3" applyNumberFormat="1" applyFont="1" applyBorder="1" applyAlignment="1">
      <alignment horizontal="right"/>
    </xf>
    <xf numFmtId="8" fontId="118" fillId="0" borderId="0" xfId="3" applyNumberFormat="1" applyFont="1" applyBorder="1" applyAlignment="1">
      <alignment horizontal="right"/>
    </xf>
    <xf numFmtId="0" fontId="132" fillId="0" borderId="0" xfId="3" applyFont="1" applyAlignment="1">
      <alignment horizontal="center"/>
    </xf>
    <xf numFmtId="0" fontId="105" fillId="0" borderId="0" xfId="3" applyFont="1" applyAlignment="1">
      <alignment horizontal="left" vertical="top" wrapText="1"/>
    </xf>
    <xf numFmtId="0" fontId="121" fillId="0" borderId="0" xfId="3" applyFont="1" applyBorder="1" applyAlignment="1">
      <alignment horizontal="right"/>
    </xf>
    <xf numFmtId="0" fontId="101" fillId="0" borderId="79" xfId="3" applyFont="1" applyBorder="1" applyAlignment="1">
      <alignment horizontal="center"/>
    </xf>
    <xf numFmtId="0" fontId="102" fillId="0" borderId="79" xfId="3" applyFont="1" applyBorder="1" applyAlignment="1">
      <alignment horizontal="center" vertical="center" wrapText="1"/>
    </xf>
    <xf numFmtId="0" fontId="102" fillId="0" borderId="0" xfId="3" applyFont="1" applyBorder="1" applyAlignment="1">
      <alignment horizontal="center" vertical="center"/>
    </xf>
    <xf numFmtId="0" fontId="106" fillId="0" borderId="0" xfId="3" applyFont="1" applyBorder="1" applyAlignment="1">
      <alignment horizontal="center"/>
    </xf>
    <xf numFmtId="0" fontId="107" fillId="0" borderId="0" xfId="3" applyFont="1" applyBorder="1" applyAlignment="1">
      <alignment horizontal="center"/>
    </xf>
    <xf numFmtId="0" fontId="107" fillId="0" borderId="82" xfId="3" applyFont="1" applyBorder="1" applyAlignment="1">
      <alignment horizontal="center"/>
    </xf>
    <xf numFmtId="0" fontId="7" fillId="0" borderId="86" xfId="3" applyFont="1" applyBorder="1" applyAlignment="1">
      <alignment horizontal="center" vertical="center" wrapText="1"/>
    </xf>
    <xf numFmtId="0" fontId="118" fillId="0" borderId="87" xfId="3" applyFont="1" applyBorder="1" applyAlignment="1">
      <alignment horizontal="center" vertical="center" wrapText="1"/>
    </xf>
    <xf numFmtId="0" fontId="118" fillId="0" borderId="88" xfId="3" applyFont="1" applyBorder="1" applyAlignment="1">
      <alignment horizontal="center" vertical="center" wrapText="1"/>
    </xf>
    <xf numFmtId="0" fontId="118" fillId="0" borderId="89" xfId="3" applyFont="1" applyBorder="1" applyAlignment="1">
      <alignment horizontal="center" vertical="center" wrapText="1"/>
    </xf>
    <xf numFmtId="0" fontId="118" fillId="0" borderId="0" xfId="3" applyFont="1" applyBorder="1" applyAlignment="1">
      <alignment horizontal="center" vertical="center" wrapText="1"/>
    </xf>
    <xf numFmtId="0" fontId="118" fillId="0" borderId="90" xfId="3" applyFont="1" applyBorder="1" applyAlignment="1">
      <alignment horizontal="center" vertical="center" wrapText="1"/>
    </xf>
    <xf numFmtId="0" fontId="5" fillId="16" borderId="52" xfId="0" applyFont="1" applyFill="1" applyBorder="1" applyAlignment="1">
      <alignment horizontal="center"/>
    </xf>
    <xf numFmtId="0" fontId="0" fillId="16" borderId="0" xfId="0" applyFill="1" applyBorder="1" applyAlignment="1">
      <alignment horizontal="center"/>
    </xf>
    <xf numFmtId="164" fontId="6" fillId="16" borderId="0" xfId="0" applyNumberFormat="1" applyFont="1" applyFill="1" applyBorder="1" applyAlignment="1">
      <alignment horizontal="center"/>
    </xf>
    <xf numFmtId="0" fontId="6" fillId="16" borderId="0" xfId="0" applyFont="1" applyFill="1" applyBorder="1" applyAlignment="1">
      <alignment horizontal="center"/>
    </xf>
    <xf numFmtId="0" fontId="5" fillId="16" borderId="49" xfId="0" applyFont="1" applyFill="1" applyBorder="1" applyAlignment="1">
      <alignment horizontal="center"/>
    </xf>
    <xf numFmtId="0" fontId="0" fillId="16" borderId="64" xfId="0" applyFill="1" applyBorder="1" applyAlignment="1">
      <alignment horizontal="center"/>
    </xf>
    <xf numFmtId="0" fontId="0" fillId="16" borderId="52" xfId="0" applyFill="1" applyBorder="1" applyAlignment="1">
      <alignment horizontal="center"/>
    </xf>
    <xf numFmtId="0" fontId="9" fillId="16" borderId="64" xfId="0" applyFont="1" applyFill="1" applyBorder="1" applyAlignment="1">
      <alignment horizontal="left"/>
    </xf>
    <xf numFmtId="0" fontId="9" fillId="16" borderId="65" xfId="0" applyFont="1" applyFill="1" applyBorder="1" applyAlignment="1">
      <alignment horizontal="left"/>
    </xf>
    <xf numFmtId="0" fontId="9" fillId="16" borderId="97" xfId="0" applyFont="1" applyFill="1" applyBorder="1" applyAlignment="1">
      <alignment horizontal="left"/>
    </xf>
    <xf numFmtId="0" fontId="9" fillId="16" borderId="98" xfId="0" applyFont="1" applyFill="1" applyBorder="1" applyAlignment="1">
      <alignment horizontal="left"/>
    </xf>
    <xf numFmtId="1" fontId="6" fillId="16" borderId="0" xfId="18" applyNumberFormat="1" applyFont="1" applyFill="1" applyBorder="1" applyAlignment="1">
      <alignment horizontal="center"/>
    </xf>
    <xf numFmtId="0" fontId="6" fillId="16" borderId="0" xfId="18" applyNumberFormat="1" applyFont="1" applyFill="1" applyBorder="1" applyAlignment="1">
      <alignment horizontal="center"/>
    </xf>
    <xf numFmtId="0" fontId="9" fillId="10" borderId="49" xfId="0" applyFont="1" applyFill="1" applyBorder="1" applyAlignment="1">
      <alignment horizontal="center"/>
    </xf>
    <xf numFmtId="0" fontId="9" fillId="10" borderId="64" xfId="0" applyFont="1" applyFill="1" applyBorder="1" applyAlignment="1">
      <alignment horizontal="center"/>
    </xf>
    <xf numFmtId="0" fontId="9" fillId="10" borderId="65" xfId="0" applyFont="1" applyFill="1" applyBorder="1" applyAlignment="1">
      <alignment horizontal="center"/>
    </xf>
    <xf numFmtId="0" fontId="5" fillId="10" borderId="0" xfId="0" applyFont="1" applyFill="1" applyBorder="1" applyAlignment="1">
      <alignment horizontal="center"/>
    </xf>
    <xf numFmtId="0" fontId="0" fillId="10" borderId="0" xfId="0" applyFill="1" applyBorder="1" applyAlignment="1">
      <alignment horizontal="center"/>
    </xf>
    <xf numFmtId="164" fontId="6" fillId="10" borderId="0" xfId="0" applyNumberFormat="1" applyFont="1" applyFill="1" applyBorder="1" applyAlignment="1">
      <alignment horizontal="center"/>
    </xf>
    <xf numFmtId="164" fontId="9" fillId="3" borderId="52" xfId="0" applyNumberFormat="1" applyFont="1" applyFill="1" applyBorder="1" applyAlignment="1">
      <alignment horizontal="center"/>
    </xf>
    <xf numFmtId="0" fontId="9" fillId="3" borderId="0" xfId="0" applyFont="1" applyFill="1" applyBorder="1" applyAlignment="1">
      <alignment horizontal="center"/>
    </xf>
    <xf numFmtId="164" fontId="9" fillId="17" borderId="52" xfId="0" applyNumberFormat="1" applyFont="1" applyFill="1" applyBorder="1" applyAlignment="1">
      <alignment horizontal="center"/>
    </xf>
    <xf numFmtId="0" fontId="9" fillId="17" borderId="0" xfId="0" applyFont="1" applyFill="1" applyBorder="1" applyAlignment="1">
      <alignment horizontal="center"/>
    </xf>
    <xf numFmtId="0" fontId="6" fillId="17" borderId="0" xfId="0" applyFont="1" applyFill="1" applyBorder="1" applyAlignment="1">
      <alignment horizontal="center"/>
    </xf>
    <xf numFmtId="0" fontId="6" fillId="17" borderId="28" xfId="0" applyFont="1" applyFill="1" applyBorder="1" applyAlignment="1">
      <alignment horizontal="center"/>
    </xf>
    <xf numFmtId="0" fontId="136" fillId="17" borderId="31" xfId="0" applyFont="1" applyFill="1" applyBorder="1" applyAlignment="1">
      <alignment horizontal="center"/>
    </xf>
    <xf numFmtId="0" fontId="136" fillId="17" borderId="55" xfId="0" applyFont="1" applyFill="1" applyBorder="1" applyAlignment="1">
      <alignment horizontal="center"/>
    </xf>
    <xf numFmtId="0" fontId="33" fillId="18" borderId="49" xfId="0" applyFont="1" applyFill="1" applyBorder="1" applyAlignment="1">
      <alignment horizontal="center" vertical="center" wrapText="1"/>
    </xf>
    <xf numFmtId="0" fontId="33" fillId="18" borderId="64" xfId="0" applyFont="1" applyFill="1" applyBorder="1" applyAlignment="1">
      <alignment horizontal="center" vertical="center" wrapText="1"/>
    </xf>
    <xf numFmtId="0" fontId="33" fillId="18" borderId="52" xfId="0" applyFont="1" applyFill="1" applyBorder="1" applyAlignment="1">
      <alignment horizontal="center" vertical="center" wrapText="1"/>
    </xf>
    <xf numFmtId="0" fontId="33" fillId="18" borderId="0" xfId="0" applyFont="1" applyFill="1" applyBorder="1" applyAlignment="1">
      <alignment horizontal="center" vertical="center" wrapText="1"/>
    </xf>
    <xf numFmtId="0" fontId="33" fillId="18" borderId="54" xfId="0" applyFont="1" applyFill="1" applyBorder="1" applyAlignment="1">
      <alignment horizontal="center" vertical="center" wrapText="1"/>
    </xf>
    <xf numFmtId="0" fontId="33" fillId="18" borderId="31" xfId="0" applyFont="1" applyFill="1" applyBorder="1" applyAlignment="1">
      <alignment horizontal="center" vertical="center" wrapText="1"/>
    </xf>
    <xf numFmtId="164" fontId="9" fillId="18" borderId="0" xfId="0" applyNumberFormat="1" applyFont="1" applyFill="1" applyBorder="1" applyAlignment="1">
      <alignment horizontal="center"/>
    </xf>
    <xf numFmtId="0" fontId="99" fillId="18" borderId="0" xfId="0" applyFont="1" applyFill="1" applyBorder="1" applyAlignment="1">
      <alignment horizontal="center"/>
    </xf>
    <xf numFmtId="0" fontId="99" fillId="18" borderId="28" xfId="0" applyFont="1" applyFill="1" applyBorder="1" applyAlignment="1">
      <alignment horizontal="center"/>
    </xf>
    <xf numFmtId="164" fontId="9" fillId="17" borderId="0" xfId="0" applyNumberFormat="1" applyFont="1" applyFill="1" applyBorder="1" applyAlignment="1">
      <alignment horizontal="center"/>
    </xf>
    <xf numFmtId="0" fontId="9" fillId="17" borderId="28" xfId="0" applyFont="1" applyFill="1" applyBorder="1" applyAlignment="1">
      <alignment horizontal="center"/>
    </xf>
    <xf numFmtId="0" fontId="135" fillId="17" borderId="102" xfId="0" applyFont="1" applyFill="1" applyBorder="1" applyAlignment="1">
      <alignment horizontal="center"/>
    </xf>
    <xf numFmtId="0" fontId="135" fillId="17" borderId="103" xfId="0" applyFont="1" applyFill="1" applyBorder="1" applyAlignment="1">
      <alignment horizontal="center"/>
    </xf>
    <xf numFmtId="0" fontId="135" fillId="17" borderId="104" xfId="0" applyFont="1" applyFill="1" applyBorder="1" applyAlignment="1">
      <alignment horizontal="center"/>
    </xf>
    <xf numFmtId="0" fontId="5" fillId="17" borderId="0" xfId="0" applyFont="1" applyFill="1" applyBorder="1" applyAlignment="1">
      <alignment horizontal="left"/>
    </xf>
    <xf numFmtId="0" fontId="0" fillId="17" borderId="0" xfId="0" applyFill="1" applyBorder="1" applyAlignment="1">
      <alignment horizontal="left"/>
    </xf>
    <xf numFmtId="0" fontId="0" fillId="17" borderId="28" xfId="0" applyFill="1" applyBorder="1" applyAlignment="1">
      <alignment horizontal="left"/>
    </xf>
    <xf numFmtId="0" fontId="5" fillId="3" borderId="0" xfId="0" applyFont="1" applyFill="1" applyBorder="1" applyAlignment="1">
      <alignment horizontal="left"/>
    </xf>
    <xf numFmtId="0" fontId="0" fillId="3" borderId="28" xfId="0" applyFill="1" applyBorder="1" applyAlignment="1">
      <alignment horizontal="left"/>
    </xf>
    <xf numFmtId="0" fontId="5" fillId="10" borderId="52" xfId="0" applyFont="1" applyFill="1" applyBorder="1" applyAlignment="1">
      <alignment horizontal="right"/>
    </xf>
    <xf numFmtId="0" fontId="0" fillId="10" borderId="0" xfId="0" applyFill="1" applyBorder="1" applyAlignment="1">
      <alignment horizontal="right"/>
    </xf>
    <xf numFmtId="0" fontId="6" fillId="10" borderId="0" xfId="0" applyFont="1" applyFill="1" applyBorder="1" applyAlignment="1">
      <alignment horizontal="center"/>
    </xf>
    <xf numFmtId="0" fontId="48" fillId="3" borderId="99" xfId="0" applyFont="1" applyFill="1" applyBorder="1" applyAlignment="1">
      <alignment horizontal="center"/>
    </xf>
    <xf numFmtId="0" fontId="48" fillId="3" borderId="100" xfId="0" applyFont="1" applyFill="1" applyBorder="1" applyAlignment="1">
      <alignment horizontal="center"/>
    </xf>
    <xf numFmtId="0" fontId="48" fillId="3" borderId="101" xfId="0" applyFont="1" applyFill="1" applyBorder="1" applyAlignment="1">
      <alignment horizontal="center"/>
    </xf>
    <xf numFmtId="0" fontId="5" fillId="16" borderId="106" xfId="0" applyFont="1" applyFill="1" applyBorder="1" applyAlignment="1">
      <alignment horizontal="left"/>
    </xf>
    <xf numFmtId="0" fontId="0" fillId="16" borderId="106" xfId="0" applyFill="1" applyBorder="1" applyAlignment="1">
      <alignment horizontal="left"/>
    </xf>
    <xf numFmtId="0" fontId="0" fillId="16" borderId="107" xfId="0" applyFill="1" applyBorder="1" applyAlignment="1">
      <alignment horizontal="left"/>
    </xf>
    <xf numFmtId="0" fontId="5" fillId="16" borderId="4" xfId="0" applyFont="1" applyFill="1" applyBorder="1" applyAlignment="1">
      <alignment horizontal="left"/>
    </xf>
    <xf numFmtId="0" fontId="0" fillId="16" borderId="4" xfId="0" applyFill="1" applyBorder="1" applyAlignment="1">
      <alignment horizontal="left"/>
    </xf>
    <xf numFmtId="0" fontId="0" fillId="16" borderId="108" xfId="0" applyFill="1" applyBorder="1" applyAlignment="1">
      <alignment horizontal="left"/>
    </xf>
    <xf numFmtId="0" fontId="10" fillId="0" borderId="0" xfId="2" applyFont="1" applyAlignment="1">
      <alignment horizontal="left" vertical="center" wrapText="1"/>
    </xf>
    <xf numFmtId="0" fontId="53" fillId="0" borderId="0" xfId="3" applyFont="1" applyAlignment="1">
      <alignment horizontal="center" vertical="center"/>
    </xf>
    <xf numFmtId="0" fontId="38" fillId="0" borderId="0" xfId="3" applyFont="1" applyAlignment="1">
      <alignment horizontal="left" vertical="center"/>
    </xf>
    <xf numFmtId="0" fontId="33" fillId="0" borderId="0" xfId="3" applyFont="1" applyAlignment="1">
      <alignment horizontal="center"/>
    </xf>
    <xf numFmtId="164" fontId="46" fillId="0" borderId="0" xfId="1" applyNumberFormat="1" applyFont="1" applyAlignment="1">
      <alignment horizontal="center"/>
    </xf>
    <xf numFmtId="0" fontId="6" fillId="0" borderId="0" xfId="3" applyFont="1" applyBorder="1" applyAlignment="1">
      <alignment horizontal="right" wrapText="1"/>
    </xf>
    <xf numFmtId="0" fontId="6" fillId="0" borderId="42" xfId="3" applyFont="1" applyBorder="1" applyAlignment="1">
      <alignment horizontal="right" wrapText="1"/>
    </xf>
    <xf numFmtId="0" fontId="141" fillId="0" borderId="133" xfId="3" applyFont="1" applyBorder="1" applyAlignment="1">
      <alignment horizontal="left" vertical="center"/>
    </xf>
    <xf numFmtId="0" fontId="141" fillId="0" borderId="134" xfId="3" applyFont="1" applyBorder="1" applyAlignment="1">
      <alignment horizontal="left" vertical="center"/>
    </xf>
    <xf numFmtId="0" fontId="141" fillId="0" borderId="134" xfId="3" applyFont="1" applyBorder="1" applyAlignment="1">
      <alignment horizontal="left" vertical="center"/>
    </xf>
    <xf numFmtId="0" fontId="5" fillId="0" borderId="135" xfId="3" applyFont="1" applyBorder="1"/>
    <xf numFmtId="0" fontId="9" fillId="5" borderId="56" xfId="3" applyFont="1" applyFill="1" applyBorder="1" applyAlignment="1">
      <alignment horizontal="center"/>
    </xf>
    <xf numFmtId="0" fontId="9" fillId="5" borderId="1" xfId="3" applyFont="1" applyFill="1" applyBorder="1" applyAlignment="1">
      <alignment horizontal="center"/>
    </xf>
    <xf numFmtId="0" fontId="5" fillId="5" borderId="0" xfId="3" applyFill="1" applyAlignment="1">
      <alignment horizontal="center"/>
    </xf>
    <xf numFmtId="0" fontId="6" fillId="5" borderId="136" xfId="3" applyFont="1" applyFill="1" applyBorder="1" applyAlignment="1">
      <alignment horizontal="center"/>
    </xf>
    <xf numFmtId="0" fontId="141" fillId="0" borderId="137" xfId="3" applyFont="1" applyBorder="1" applyAlignment="1">
      <alignment horizontal="left" vertical="center"/>
    </xf>
    <xf numFmtId="0" fontId="141" fillId="0" borderId="0" xfId="3" applyFont="1" applyBorder="1" applyAlignment="1">
      <alignment horizontal="center" vertical="center" wrapText="1"/>
    </xf>
    <xf numFmtId="0" fontId="141" fillId="0" borderId="0" xfId="3" applyFont="1" applyBorder="1" applyAlignment="1">
      <alignment horizontal="left" vertical="center"/>
    </xf>
    <xf numFmtId="0" fontId="89" fillId="0" borderId="0" xfId="3" applyFont="1" applyBorder="1" applyAlignment="1">
      <alignment horizontal="center" vertical="center" wrapText="1"/>
    </xf>
    <xf numFmtId="0" fontId="142" fillId="0" borderId="0" xfId="3" applyFont="1" applyBorder="1" applyAlignment="1">
      <alignment horizontal="center" vertical="center" wrapText="1"/>
    </xf>
    <xf numFmtId="0" fontId="142" fillId="0" borderId="138" xfId="3" applyFont="1" applyBorder="1" applyAlignment="1">
      <alignment horizontal="center" vertical="center" wrapText="1"/>
    </xf>
    <xf numFmtId="10" fontId="89" fillId="2" borderId="1" xfId="4" applyNumberFormat="1" applyFont="1" applyFill="1" applyBorder="1" applyAlignment="1">
      <alignment horizontal="center"/>
    </xf>
    <xf numFmtId="0" fontId="5" fillId="2" borderId="0" xfId="3" applyFill="1"/>
    <xf numFmtId="0" fontId="89" fillId="2" borderId="136" xfId="3" applyFont="1" applyFill="1" applyBorder="1" applyAlignment="1">
      <alignment horizontal="center"/>
    </xf>
    <xf numFmtId="10" fontId="141" fillId="0" borderId="0" xfId="3" applyNumberFormat="1" applyFont="1" applyBorder="1" applyAlignment="1">
      <alignment horizontal="right" vertical="center" wrapText="1"/>
    </xf>
    <xf numFmtId="0" fontId="141" fillId="0" borderId="0" xfId="3" applyFont="1" applyBorder="1" applyAlignment="1">
      <alignment horizontal="left" wrapText="1"/>
    </xf>
    <xf numFmtId="10" fontId="143" fillId="0" borderId="0" xfId="3" applyNumberFormat="1" applyFont="1" applyBorder="1" applyAlignment="1">
      <alignment horizontal="center" vertical="center"/>
    </xf>
    <xf numFmtId="10" fontId="143" fillId="0" borderId="138" xfId="3" applyNumberFormat="1" applyFont="1" applyBorder="1" applyAlignment="1">
      <alignment horizontal="center" vertical="center"/>
    </xf>
    <xf numFmtId="167" fontId="19" fillId="4" borderId="106" xfId="4" applyNumberFormat="1" applyFont="1" applyFill="1" applyBorder="1" applyAlignment="1">
      <alignment horizontal="center" vertical="center"/>
    </xf>
    <xf numFmtId="0" fontId="5" fillId="0" borderId="137" xfId="3" applyFont="1" applyBorder="1"/>
    <xf numFmtId="0" fontId="33" fillId="0" borderId="0" xfId="3" applyFont="1" applyBorder="1" applyAlignment="1">
      <alignment wrapText="1"/>
    </xf>
    <xf numFmtId="0" fontId="33" fillId="0" borderId="0" xfId="3" applyFont="1" applyBorder="1" applyAlignment="1">
      <alignment horizontal="left" wrapText="1"/>
    </xf>
    <xf numFmtId="0" fontId="5" fillId="0" borderId="138" xfId="3" applyFont="1" applyBorder="1"/>
    <xf numFmtId="0" fontId="144" fillId="0" borderId="0" xfId="3" applyFont="1"/>
    <xf numFmtId="0" fontId="33" fillId="0" borderId="0" xfId="3" applyFont="1" applyBorder="1" applyAlignment="1">
      <alignment horizontal="center" wrapText="1"/>
    </xf>
    <xf numFmtId="0" fontId="19" fillId="0" borderId="0" xfId="3" applyFont="1" applyBorder="1" applyAlignment="1">
      <alignment horizontal="center"/>
    </xf>
    <xf numFmtId="164" fontId="48" fillId="0" borderId="0" xfId="3" applyNumberFormat="1" applyFont="1" applyBorder="1" applyAlignment="1">
      <alignment horizontal="center"/>
    </xf>
    <xf numFmtId="0" fontId="9" fillId="0" borderId="0" xfId="3" applyNumberFormat="1" applyFont="1" applyBorder="1" applyAlignment="1">
      <alignment horizontal="right"/>
    </xf>
    <xf numFmtId="0" fontId="9" fillId="0" borderId="138" xfId="3" applyFont="1" applyBorder="1"/>
    <xf numFmtId="0" fontId="32" fillId="0" borderId="0" xfId="3" applyFont="1" applyAlignment="1">
      <alignment horizontal="center"/>
    </xf>
    <xf numFmtId="0" fontId="19" fillId="0" borderId="0" xfId="3" applyFont="1" applyBorder="1" applyAlignment="1">
      <alignment horizontal="center" vertical="center" wrapText="1"/>
    </xf>
    <xf numFmtId="8" fontId="48" fillId="0" borderId="0" xfId="3" applyNumberFormat="1" applyFont="1" applyBorder="1" applyAlignment="1">
      <alignment horizontal="center" wrapText="1"/>
    </xf>
    <xf numFmtId="8" fontId="6" fillId="0" borderId="0" xfId="3" applyNumberFormat="1" applyFont="1" applyBorder="1" applyAlignment="1">
      <alignment horizontal="center" wrapText="1"/>
    </xf>
    <xf numFmtId="0" fontId="5" fillId="0" borderId="139" xfId="3" applyFont="1" applyBorder="1"/>
    <xf numFmtId="0" fontId="5" fillId="0" borderId="140" xfId="3" applyFont="1" applyBorder="1"/>
    <xf numFmtId="0" fontId="19" fillId="0" borderId="140" xfId="3" applyFont="1" applyBorder="1" applyAlignment="1">
      <alignment horizontal="center" vertical="center" wrapText="1"/>
    </xf>
    <xf numFmtId="8" fontId="48" fillId="0" borderId="140" xfId="3" applyNumberFormat="1" applyFont="1" applyBorder="1" applyAlignment="1">
      <alignment horizontal="center" wrapText="1"/>
    </xf>
    <xf numFmtId="0" fontId="5" fillId="0" borderId="140" xfId="3" applyFont="1" applyBorder="1" applyAlignment="1">
      <alignment wrapText="1"/>
    </xf>
    <xf numFmtId="0" fontId="5" fillId="0" borderId="141" xfId="3" applyFont="1" applyBorder="1"/>
    <xf numFmtId="0" fontId="145" fillId="0" borderId="134" xfId="3" applyFont="1" applyBorder="1" applyAlignment="1">
      <alignment horizontal="center" vertical="center"/>
    </xf>
    <xf numFmtId="0" fontId="145" fillId="0" borderId="135" xfId="3" applyFont="1" applyBorder="1" applyAlignment="1">
      <alignment horizontal="center" vertical="center"/>
    </xf>
    <xf numFmtId="0" fontId="145" fillId="0" borderId="133" xfId="3" applyFont="1" applyBorder="1" applyAlignment="1">
      <alignment horizontal="center" vertical="center"/>
    </xf>
    <xf numFmtId="0" fontId="9" fillId="0" borderId="133" xfId="3" applyFont="1" applyBorder="1" applyAlignment="1">
      <alignment horizontal="center" vertical="center" wrapText="1"/>
    </xf>
    <xf numFmtId="0" fontId="9" fillId="0" borderId="134" xfId="3" applyFont="1" applyBorder="1" applyAlignment="1">
      <alignment horizontal="center" vertical="center" wrapText="1"/>
    </xf>
    <xf numFmtId="0" fontId="9" fillId="0" borderId="135" xfId="3" applyFont="1" applyBorder="1" applyAlignment="1">
      <alignment horizontal="center" vertical="center" wrapText="1"/>
    </xf>
    <xf numFmtId="44" fontId="5" fillId="0" borderId="137" xfId="3" applyNumberFormat="1" applyBorder="1"/>
    <xf numFmtId="0" fontId="145" fillId="0" borderId="0" xfId="3" applyFont="1" applyBorder="1" applyAlignment="1">
      <alignment horizontal="center" vertical="center"/>
    </xf>
    <xf numFmtId="0" fontId="145" fillId="0" borderId="138" xfId="3" applyFont="1" applyBorder="1" applyAlignment="1">
      <alignment horizontal="center" vertical="center"/>
    </xf>
    <xf numFmtId="0" fontId="145" fillId="0" borderId="137" xfId="3" applyFont="1" applyBorder="1" applyAlignment="1">
      <alignment horizontal="center" vertical="center"/>
    </xf>
    <xf numFmtId="0" fontId="9" fillId="0" borderId="137" xfId="3" applyFont="1" applyBorder="1" applyAlignment="1">
      <alignment horizontal="center" vertical="center" wrapText="1"/>
    </xf>
    <xf numFmtId="0" fontId="9" fillId="0" borderId="138" xfId="3" applyFont="1" applyBorder="1" applyAlignment="1">
      <alignment horizontal="center" vertical="center" wrapText="1"/>
    </xf>
    <xf numFmtId="0" fontId="6" fillId="0" borderId="137" xfId="3" applyFont="1" applyBorder="1" applyAlignment="1">
      <alignment horizontal="center" wrapText="1"/>
    </xf>
    <xf numFmtId="0" fontId="6" fillId="0" borderId="0" xfId="3" applyFont="1" applyBorder="1" applyAlignment="1">
      <alignment horizontal="center"/>
    </xf>
    <xf numFmtId="0" fontId="5" fillId="0" borderId="77" xfId="3" applyFont="1" applyBorder="1"/>
    <xf numFmtId="44" fontId="5" fillId="0" borderId="138" xfId="3" applyNumberFormat="1" applyFont="1" applyBorder="1"/>
    <xf numFmtId="0" fontId="6" fillId="0" borderId="0" xfId="3" applyFont="1" applyBorder="1" applyAlignment="1">
      <alignment wrapText="1"/>
    </xf>
    <xf numFmtId="0" fontId="6" fillId="0" borderId="138" xfId="3" applyFont="1" applyBorder="1" applyAlignment="1">
      <alignment horizontal="center" vertical="center" wrapText="1"/>
    </xf>
    <xf numFmtId="0" fontId="6" fillId="0" borderId="138" xfId="3" applyFont="1" applyBorder="1" applyAlignment="1">
      <alignment horizontal="center"/>
    </xf>
    <xf numFmtId="0" fontId="6" fillId="0" borderId="137" xfId="3" applyFont="1" applyBorder="1" applyAlignment="1">
      <alignment horizontal="center" vertical="center" wrapText="1"/>
    </xf>
    <xf numFmtId="0" fontId="6" fillId="0" borderId="0" xfId="3" applyFont="1" applyBorder="1" applyAlignment="1"/>
    <xf numFmtId="0" fontId="6" fillId="0" borderId="31" xfId="3" applyFont="1" applyBorder="1" applyAlignment="1">
      <alignment horizontal="center" wrapText="1"/>
    </xf>
    <xf numFmtId="0" fontId="6" fillId="0" borderId="142" xfId="3" applyFont="1" applyBorder="1" applyAlignment="1">
      <alignment horizontal="center" wrapText="1"/>
    </xf>
    <xf numFmtId="0" fontId="6" fillId="0" borderId="84" xfId="3" applyFont="1" applyBorder="1" applyAlignment="1">
      <alignment horizontal="center"/>
    </xf>
    <xf numFmtId="0" fontId="6" fillId="0" borderId="84" xfId="3" applyFont="1" applyBorder="1" applyAlignment="1">
      <alignment horizontal="center" wrapText="1"/>
    </xf>
    <xf numFmtId="10" fontId="6" fillId="0" borderId="0" xfId="3" applyNumberFormat="1" applyFont="1" applyBorder="1" applyAlignment="1">
      <alignment horizontal="center" wrapText="1"/>
    </xf>
    <xf numFmtId="164" fontId="21" fillId="0" borderId="64" xfId="3" applyNumberFormat="1" applyFont="1" applyBorder="1" applyAlignment="1">
      <alignment horizontal="center"/>
    </xf>
    <xf numFmtId="0" fontId="5" fillId="0" borderId="65" xfId="3" applyBorder="1"/>
    <xf numFmtId="9" fontId="43" fillId="0" borderId="0" xfId="1" applyNumberFormat="1" applyFont="1" applyBorder="1" applyAlignment="1">
      <alignment horizontal="center"/>
    </xf>
    <xf numFmtId="165" fontId="96" fillId="0" borderId="0" xfId="3" applyNumberFormat="1" applyFont="1" applyBorder="1" applyAlignment="1">
      <alignment horizontal="center"/>
    </xf>
    <xf numFmtId="0" fontId="5" fillId="0" borderId="28" xfId="3" applyBorder="1"/>
    <xf numFmtId="0" fontId="5" fillId="0" borderId="133" xfId="3" applyFont="1" applyBorder="1"/>
    <xf numFmtId="164" fontId="45" fillId="0" borderId="134" xfId="3" applyNumberFormat="1" applyFont="1" applyBorder="1" applyAlignment="1">
      <alignment horizontal="center"/>
    </xf>
    <xf numFmtId="164" fontId="63" fillId="0" borderId="134" xfId="1" applyNumberFormat="1" applyFont="1" applyBorder="1" applyAlignment="1">
      <alignment horizontal="center"/>
    </xf>
    <xf numFmtId="8" fontId="45" fillId="0" borderId="135" xfId="1" applyNumberFormat="1" applyFont="1" applyBorder="1" applyAlignment="1">
      <alignment horizontal="center"/>
    </xf>
    <xf numFmtId="164" fontId="44" fillId="0" borderId="133" xfId="1" applyNumberFormat="1" applyFont="1" applyBorder="1" applyAlignment="1">
      <alignment horizontal="center"/>
    </xf>
    <xf numFmtId="164" fontId="146" fillId="0" borderId="134" xfId="1" applyNumberFormat="1" applyFont="1" applyBorder="1" applyAlignment="1">
      <alignment horizontal="center"/>
    </xf>
    <xf numFmtId="164" fontId="97" fillId="0" borderId="134" xfId="1" applyNumberFormat="1" applyFont="1" applyBorder="1" applyAlignment="1">
      <alignment horizontal="center"/>
    </xf>
    <xf numFmtId="0" fontId="5" fillId="0" borderId="133" xfId="3" applyFont="1" applyBorder="1" applyAlignment="1">
      <alignment horizontal="center" vertical="center"/>
    </xf>
    <xf numFmtId="164" fontId="39" fillId="0" borderId="134" xfId="1" applyNumberFormat="1" applyFont="1" applyBorder="1" applyAlignment="1" applyProtection="1">
      <alignment horizontal="center"/>
      <protection locked="0"/>
    </xf>
    <xf numFmtId="164" fontId="52" fillId="0" borderId="135" xfId="1" applyNumberFormat="1" applyFont="1" applyBorder="1" applyAlignment="1">
      <alignment horizontal="center"/>
    </xf>
    <xf numFmtId="8" fontId="44" fillId="0" borderId="137" xfId="1" applyNumberFormat="1" applyFont="1" applyBorder="1" applyAlignment="1">
      <alignment horizontal="center"/>
    </xf>
    <xf numFmtId="10" fontId="43" fillId="0" borderId="0" xfId="1" applyNumberFormat="1" applyFont="1" applyBorder="1" applyAlignment="1">
      <alignment horizontal="center"/>
    </xf>
    <xf numFmtId="164" fontId="44" fillId="0" borderId="0" xfId="1" applyNumberFormat="1" applyFont="1" applyBorder="1" applyAlignment="1">
      <alignment horizontal="center"/>
    </xf>
    <xf numFmtId="164" fontId="44" fillId="0" borderId="137" xfId="1" applyNumberFormat="1" applyFont="1" applyBorder="1" applyAlignment="1">
      <alignment horizontal="center"/>
    </xf>
    <xf numFmtId="164" fontId="146" fillId="0" borderId="0" xfId="1" applyNumberFormat="1" applyFont="1" applyBorder="1" applyAlignment="1">
      <alignment horizontal="center"/>
    </xf>
    <xf numFmtId="164" fontId="97" fillId="0" borderId="0" xfId="1" applyNumberFormat="1" applyFont="1" applyBorder="1" applyAlignment="1">
      <alignment horizontal="center"/>
    </xf>
    <xf numFmtId="0" fontId="5" fillId="0" borderId="137" xfId="3" applyFont="1" applyBorder="1" applyAlignment="1">
      <alignment horizontal="center" vertical="center"/>
    </xf>
    <xf numFmtId="164" fontId="24" fillId="0" borderId="0" xfId="1" applyNumberFormat="1" applyFont="1" applyBorder="1" applyAlignment="1" applyProtection="1">
      <alignment horizontal="center"/>
      <protection locked="0"/>
    </xf>
    <xf numFmtId="164" fontId="52" fillId="0" borderId="138" xfId="1" applyNumberFormat="1" applyFont="1" applyBorder="1" applyAlignment="1">
      <alignment horizontal="center"/>
    </xf>
    <xf numFmtId="0" fontId="5" fillId="0" borderId="137" xfId="3" applyBorder="1"/>
    <xf numFmtId="164" fontId="6" fillId="0" borderId="0" xfId="1" applyNumberFormat="1" applyFont="1" applyBorder="1" applyAlignment="1">
      <alignment horizontal="center" vertical="center" wrapText="1"/>
    </xf>
    <xf numFmtId="164" fontId="6" fillId="0" borderId="138" xfId="1" applyNumberFormat="1" applyFont="1" applyBorder="1" applyAlignment="1">
      <alignment horizontal="center" vertical="center" wrapText="1"/>
    </xf>
    <xf numFmtId="8" fontId="5" fillId="0" borderId="4" xfId="1" applyNumberFormat="1" applyBorder="1" applyAlignment="1">
      <alignment horizontal="center"/>
    </xf>
    <xf numFmtId="10" fontId="43" fillId="0" borderId="4" xfId="1" applyNumberFormat="1" applyFont="1" applyBorder="1" applyAlignment="1">
      <alignment horizontal="center"/>
    </xf>
    <xf numFmtId="8" fontId="5" fillId="0" borderId="4" xfId="3" applyNumberFormat="1" applyFont="1" applyBorder="1" applyAlignment="1">
      <alignment horizontal="center"/>
    </xf>
    <xf numFmtId="8" fontId="44" fillId="0" borderId="4" xfId="1" applyNumberFormat="1" applyFont="1" applyBorder="1" applyAlignment="1">
      <alignment horizontal="center"/>
    </xf>
    <xf numFmtId="165" fontId="52" fillId="0" borderId="0" xfId="1" applyNumberFormat="1" applyFont="1" applyBorder="1" applyAlignment="1">
      <alignment horizontal="center"/>
    </xf>
    <xf numFmtId="10" fontId="5" fillId="0" borderId="28" xfId="3" applyNumberFormat="1" applyBorder="1"/>
    <xf numFmtId="164" fontId="24" fillId="0" borderId="0" xfId="1" applyNumberFormat="1" applyFont="1" applyBorder="1" applyAlignment="1">
      <alignment horizontal="center"/>
    </xf>
    <xf numFmtId="164" fontId="6" fillId="0" borderId="0" xfId="1" applyNumberFormat="1" applyFont="1" applyBorder="1" applyAlignment="1">
      <alignment horizontal="center" vertical="top" wrapText="1"/>
    </xf>
    <xf numFmtId="164" fontId="6" fillId="0" borderId="138" xfId="1" applyNumberFormat="1" applyFont="1" applyBorder="1" applyAlignment="1">
      <alignment horizontal="center" vertical="top" wrapText="1"/>
    </xf>
    <xf numFmtId="165" fontId="96" fillId="0" borderId="31" xfId="3" applyNumberFormat="1" applyFont="1" applyBorder="1" applyAlignment="1">
      <alignment horizontal="center"/>
    </xf>
    <xf numFmtId="164" fontId="44" fillId="0" borderId="140" xfId="1" applyNumberFormat="1" applyFont="1" applyBorder="1" applyAlignment="1">
      <alignment horizontal="center"/>
    </xf>
    <xf numFmtId="164" fontId="146" fillId="0" borderId="140" xfId="1" applyNumberFormat="1" applyFont="1" applyBorder="1" applyAlignment="1">
      <alignment horizontal="center"/>
    </xf>
    <xf numFmtId="0" fontId="6" fillId="0" borderId="134" xfId="3" applyFont="1" applyBorder="1" applyAlignment="1">
      <alignment horizontal="center" vertical="center" wrapText="1"/>
    </xf>
    <xf numFmtId="10" fontId="6" fillId="0" borderId="134" xfId="3" applyNumberFormat="1" applyFont="1" applyBorder="1" applyAlignment="1">
      <alignment horizontal="center" vertical="center" wrapText="1"/>
    </xf>
    <xf numFmtId="0" fontId="6" fillId="0" borderId="135" xfId="3" applyFont="1" applyBorder="1" applyAlignment="1">
      <alignment horizontal="center" vertical="center" wrapText="1"/>
    </xf>
    <xf numFmtId="0" fontId="6" fillId="0" borderId="134" xfId="3" applyFont="1" applyBorder="1" applyAlignment="1">
      <alignment horizontal="center" wrapText="1"/>
    </xf>
    <xf numFmtId="164" fontId="6" fillId="0" borderId="134" xfId="1" applyNumberFormat="1" applyFont="1" applyBorder="1" applyAlignment="1">
      <alignment horizontal="center" vertical="center" wrapText="1"/>
    </xf>
    <xf numFmtId="165" fontId="6" fillId="0" borderId="133" xfId="3" applyNumberFormat="1" applyFont="1" applyBorder="1" applyAlignment="1">
      <alignment horizontal="center" vertical="center" wrapText="1"/>
    </xf>
    <xf numFmtId="165" fontId="6" fillId="0" borderId="134" xfId="3" applyNumberFormat="1" applyFont="1" applyBorder="1" applyAlignment="1">
      <alignment horizontal="center" vertical="center" wrapText="1"/>
    </xf>
    <xf numFmtId="165" fontId="6" fillId="0" borderId="135" xfId="3" applyNumberFormat="1" applyFont="1" applyBorder="1" applyAlignment="1">
      <alignment horizontal="center" vertical="center" wrapText="1"/>
    </xf>
    <xf numFmtId="0" fontId="6" fillId="0" borderId="0" xfId="3" applyFont="1" applyBorder="1" applyAlignment="1">
      <alignment horizontal="center" vertical="center" wrapText="1"/>
    </xf>
    <xf numFmtId="0" fontId="6" fillId="0" borderId="0" xfId="3" applyFont="1" applyBorder="1" applyAlignment="1">
      <alignment horizontal="center" vertical="center" wrapText="1"/>
    </xf>
    <xf numFmtId="165" fontId="6" fillId="0" borderId="137" xfId="3" applyNumberFormat="1" applyFont="1" applyBorder="1" applyAlignment="1">
      <alignment horizontal="center" vertical="center" wrapText="1"/>
    </xf>
    <xf numFmtId="165" fontId="6" fillId="0" borderId="0" xfId="3" applyNumberFormat="1" applyFont="1" applyBorder="1" applyAlignment="1">
      <alignment horizontal="center" vertical="center" wrapText="1"/>
    </xf>
    <xf numFmtId="165" fontId="6" fillId="0" borderId="138" xfId="3" applyNumberFormat="1" applyFont="1" applyBorder="1" applyAlignment="1">
      <alignment horizontal="center" vertical="center" wrapText="1"/>
    </xf>
    <xf numFmtId="164" fontId="109" fillId="0" borderId="0" xfId="3" applyNumberFormat="1" applyFont="1" applyBorder="1" applyAlignment="1">
      <alignment horizontal="center" vertical="center"/>
    </xf>
    <xf numFmtId="164" fontId="147" fillId="0" borderId="0" xfId="3" applyNumberFormat="1" applyFont="1" applyBorder="1" applyAlignment="1">
      <alignment horizontal="center" vertical="center"/>
    </xf>
    <xf numFmtId="164" fontId="48" fillId="0" borderId="137" xfId="3" applyNumberFormat="1" applyFont="1" applyBorder="1" applyAlignment="1">
      <alignment horizontal="center" vertical="center" wrapText="1"/>
    </xf>
    <xf numFmtId="164" fontId="48" fillId="0" borderId="0" xfId="3" applyNumberFormat="1" applyFont="1" applyBorder="1" applyAlignment="1">
      <alignment horizontal="center" vertical="center" wrapText="1"/>
    </xf>
    <xf numFmtId="164" fontId="48" fillId="0" borderId="138" xfId="3" applyNumberFormat="1" applyFont="1" applyBorder="1" applyAlignment="1">
      <alignment horizontal="center" vertical="center" wrapText="1"/>
    </xf>
    <xf numFmtId="164" fontId="109" fillId="0" borderId="140" xfId="3" applyNumberFormat="1" applyFont="1" applyBorder="1" applyAlignment="1">
      <alignment horizontal="center" vertical="top"/>
    </xf>
    <xf numFmtId="164" fontId="62" fillId="0" borderId="140" xfId="3" applyNumberFormat="1" applyFont="1" applyBorder="1" applyAlignment="1">
      <alignment horizontal="center" vertical="top"/>
    </xf>
    <xf numFmtId="8" fontId="44" fillId="0" borderId="141" xfId="3" applyNumberFormat="1" applyFont="1" applyBorder="1" applyAlignment="1">
      <alignment horizontal="center" vertical="top"/>
    </xf>
    <xf numFmtId="164" fontId="109" fillId="0" borderId="140" xfId="3" applyNumberFormat="1" applyFont="1" applyBorder="1" applyAlignment="1">
      <alignment horizontal="center" vertical="center"/>
    </xf>
    <xf numFmtId="164" fontId="147" fillId="0" borderId="140" xfId="3" applyNumberFormat="1" applyFont="1" applyBorder="1" applyAlignment="1">
      <alignment horizontal="center" vertical="center"/>
    </xf>
    <xf numFmtId="164" fontId="48" fillId="0" borderId="139" xfId="3" applyNumberFormat="1" applyFont="1" applyBorder="1" applyAlignment="1">
      <alignment horizontal="center" vertical="center" wrapText="1"/>
    </xf>
    <xf numFmtId="164" fontId="48" fillId="0" borderId="140" xfId="3" applyNumberFormat="1" applyFont="1" applyBorder="1" applyAlignment="1">
      <alignment horizontal="center" vertical="center" wrapText="1"/>
    </xf>
    <xf numFmtId="164" fontId="48" fillId="0" borderId="141" xfId="3" applyNumberFormat="1" applyFont="1" applyBorder="1" applyAlignment="1">
      <alignment horizontal="center" vertical="center" wrapText="1"/>
    </xf>
    <xf numFmtId="0" fontId="89" fillId="0" borderId="0" xfId="3" applyFont="1" applyBorder="1" applyAlignment="1">
      <alignment horizontal="right"/>
    </xf>
    <xf numFmtId="10" fontId="40" fillId="0" borderId="0" xfId="3" applyNumberFormat="1" applyFont="1" applyBorder="1" applyAlignment="1">
      <alignment horizontal="center"/>
    </xf>
    <xf numFmtId="9" fontId="148" fillId="0" borderId="0" xfId="3" applyNumberFormat="1" applyFont="1" applyBorder="1"/>
    <xf numFmtId="0" fontId="9" fillId="0" borderId="0" xfId="3" applyFont="1" applyBorder="1" applyAlignment="1">
      <alignment horizontal="center" vertical="center"/>
    </xf>
    <xf numFmtId="44" fontId="5" fillId="0" borderId="0" xfId="3" applyNumberFormat="1" applyFont="1" applyBorder="1"/>
    <xf numFmtId="164" fontId="45" fillId="0" borderId="0" xfId="3" applyNumberFormat="1" applyFont="1" applyBorder="1" applyAlignment="1">
      <alignment horizontal="center"/>
    </xf>
    <xf numFmtId="164" fontId="63" fillId="0" borderId="0" xfId="1" applyNumberFormat="1" applyFont="1" applyBorder="1" applyAlignment="1">
      <alignment horizontal="center"/>
    </xf>
    <xf numFmtId="8" fontId="45" fillId="0" borderId="0" xfId="1" applyNumberFormat="1" applyFont="1" applyBorder="1" applyAlignment="1">
      <alignment horizontal="center"/>
    </xf>
    <xf numFmtId="0" fontId="6" fillId="0" borderId="0" xfId="3" applyFont="1" applyBorder="1" applyAlignment="1">
      <alignment horizontal="center" vertical="top" wrapText="1"/>
    </xf>
    <xf numFmtId="164" fontId="109" fillId="0" borderId="0" xfId="3" applyNumberFormat="1" applyFont="1" applyBorder="1" applyAlignment="1">
      <alignment horizontal="center" vertical="top"/>
    </xf>
    <xf numFmtId="164" fontId="62" fillId="0" borderId="0" xfId="3" applyNumberFormat="1" applyFont="1" applyBorder="1" applyAlignment="1">
      <alignment horizontal="center" vertical="top"/>
    </xf>
    <xf numFmtId="8" fontId="44" fillId="0" borderId="0" xfId="3" applyNumberFormat="1" applyFont="1" applyBorder="1" applyAlignment="1">
      <alignment horizontal="center" vertical="top"/>
    </xf>
    <xf numFmtId="0" fontId="57" fillId="0" borderId="52" xfId="9" applyFont="1" applyBorder="1"/>
    <xf numFmtId="0" fontId="57" fillId="0" borderId="28" xfId="9" applyFont="1" applyBorder="1"/>
    <xf numFmtId="0" fontId="57" fillId="4" borderId="52" xfId="9" applyFont="1" applyFill="1" applyBorder="1" applyProtection="1"/>
    <xf numFmtId="0" fontId="57" fillId="4" borderId="28" xfId="9" applyFont="1" applyFill="1" applyBorder="1" applyProtection="1"/>
    <xf numFmtId="0" fontId="61" fillId="4" borderId="52" xfId="9" applyFont="1" applyFill="1" applyBorder="1" applyAlignment="1" applyProtection="1">
      <alignment horizontal="right"/>
    </xf>
    <xf numFmtId="164" fontId="62" fillId="4" borderId="28" xfId="9" applyNumberFormat="1" applyFont="1" applyFill="1" applyBorder="1" applyAlignment="1" applyProtection="1">
      <alignment wrapText="1"/>
    </xf>
    <xf numFmtId="164" fontId="73" fillId="4" borderId="52" xfId="9" applyNumberFormat="1" applyFont="1" applyFill="1" applyBorder="1" applyAlignment="1" applyProtection="1">
      <alignment horizontal="center"/>
    </xf>
    <xf numFmtId="164" fontId="73" fillId="4" borderId="28" xfId="9" applyNumberFormat="1" applyFont="1" applyFill="1" applyBorder="1" applyAlignment="1" applyProtection="1">
      <alignment horizontal="center"/>
    </xf>
    <xf numFmtId="0" fontId="61" fillId="4" borderId="54" xfId="9" applyFont="1" applyFill="1" applyBorder="1" applyProtection="1"/>
    <xf numFmtId="3" fontId="61" fillId="4" borderId="31" xfId="9" applyNumberFormat="1" applyFont="1" applyFill="1" applyBorder="1" applyAlignment="1" applyProtection="1"/>
    <xf numFmtId="0" fontId="61" fillId="4" borderId="31" xfId="9" applyFont="1" applyFill="1" applyBorder="1" applyAlignment="1" applyProtection="1">
      <alignment horizontal="left"/>
    </xf>
    <xf numFmtId="164" fontId="61" fillId="4" borderId="31" xfId="9" applyNumberFormat="1" applyFont="1" applyFill="1" applyBorder="1" applyAlignment="1" applyProtection="1">
      <alignment horizontal="right"/>
    </xf>
    <xf numFmtId="9" fontId="82" fillId="4" borderId="55" xfId="13" applyFont="1" applyFill="1" applyBorder="1" applyAlignment="1" applyProtection="1">
      <alignment horizontal="left"/>
    </xf>
    <xf numFmtId="0" fontId="59" fillId="4" borderId="143" xfId="9" applyFont="1" applyFill="1" applyBorder="1" applyAlignment="1" applyProtection="1">
      <alignment horizontal="center"/>
    </xf>
    <xf numFmtId="0" fontId="59" fillId="4" borderId="146" xfId="9" applyFont="1" applyFill="1" applyBorder="1" applyAlignment="1" applyProtection="1">
      <alignment horizontal="center"/>
    </xf>
    <xf numFmtId="0" fontId="59" fillId="0" borderId="146" xfId="9" applyFont="1" applyBorder="1" applyAlignment="1" applyProtection="1">
      <alignment horizontal="center"/>
    </xf>
    <xf numFmtId="0" fontId="59" fillId="0" borderId="148" xfId="9" applyFont="1" applyBorder="1" applyAlignment="1" applyProtection="1">
      <alignment horizontal="center"/>
    </xf>
    <xf numFmtId="0" fontId="55" fillId="16" borderId="64" xfId="9" applyFont="1" applyFill="1" applyBorder="1" applyAlignment="1">
      <alignment horizontal="center" vertical="center" wrapText="1"/>
    </xf>
    <xf numFmtId="0" fontId="55" fillId="16" borderId="65" xfId="9" applyFont="1" applyFill="1" applyBorder="1" applyAlignment="1">
      <alignment horizontal="center" vertical="center" wrapText="1"/>
    </xf>
    <xf numFmtId="164" fontId="60" fillId="16" borderId="66" xfId="9" applyNumberFormat="1" applyFont="1" applyFill="1" applyBorder="1"/>
    <xf numFmtId="0" fontId="4" fillId="0" borderId="65" xfId="9" applyBorder="1"/>
    <xf numFmtId="0" fontId="55" fillId="16" borderId="0" xfId="9" applyFont="1" applyFill="1" applyBorder="1" applyAlignment="1">
      <alignment horizontal="center" vertical="center" wrapText="1"/>
    </xf>
    <xf numFmtId="0" fontId="55" fillId="16" borderId="28" xfId="9" applyFont="1" applyFill="1" applyBorder="1" applyAlignment="1">
      <alignment horizontal="center" vertical="center" wrapText="1"/>
    </xf>
    <xf numFmtId="0" fontId="4" fillId="0" borderId="64" xfId="9" applyBorder="1"/>
    <xf numFmtId="164" fontId="4" fillId="0" borderId="64" xfId="9" applyNumberFormat="1" applyBorder="1"/>
    <xf numFmtId="0" fontId="60" fillId="16" borderId="64" xfId="9" applyFont="1" applyFill="1" applyBorder="1" applyAlignment="1">
      <alignment horizontal="left" vertical="center" wrapText="1"/>
    </xf>
    <xf numFmtId="0" fontId="60" fillId="16" borderId="65" xfId="9" applyFont="1" applyFill="1" applyBorder="1" applyAlignment="1">
      <alignment horizontal="left" vertical="center" wrapText="1"/>
    </xf>
    <xf numFmtId="0" fontId="60" fillId="16" borderId="31" xfId="9" applyFont="1" applyFill="1" applyBorder="1" applyAlignment="1">
      <alignment horizontal="left" vertical="center" wrapText="1"/>
    </xf>
    <xf numFmtId="0" fontId="60" fillId="16" borderId="55" xfId="9" applyFont="1" applyFill="1" applyBorder="1" applyAlignment="1">
      <alignment horizontal="left" vertical="center" wrapText="1"/>
    </xf>
    <xf numFmtId="0" fontId="56" fillId="18" borderId="49" xfId="9" applyFont="1" applyFill="1" applyBorder="1" applyAlignment="1" applyProtection="1">
      <alignment horizontal="center"/>
      <protection locked="0"/>
    </xf>
    <xf numFmtId="0" fontId="56" fillId="18" borderId="64" xfId="9" applyFont="1" applyFill="1" applyBorder="1" applyAlignment="1" applyProtection="1">
      <alignment horizontal="center"/>
      <protection locked="0"/>
    </xf>
    <xf numFmtId="0" fontId="56" fillId="18" borderId="65" xfId="9" applyFont="1" applyFill="1" applyBorder="1" applyAlignment="1" applyProtection="1">
      <alignment horizontal="center"/>
      <protection locked="0"/>
    </xf>
    <xf numFmtId="0" fontId="56" fillId="18" borderId="52" xfId="9" applyFont="1" applyFill="1" applyBorder="1" applyAlignment="1" applyProtection="1">
      <alignment horizontal="center" vertical="center"/>
      <protection locked="0"/>
    </xf>
    <xf numFmtId="0" fontId="56" fillId="18" borderId="0" xfId="9" applyFont="1" applyFill="1" applyBorder="1" applyAlignment="1" applyProtection="1">
      <alignment horizontal="center" vertical="center"/>
      <protection locked="0"/>
    </xf>
    <xf numFmtId="0" fontId="56" fillId="18" borderId="28" xfId="9" applyFont="1" applyFill="1" applyBorder="1" applyAlignment="1" applyProtection="1">
      <alignment horizontal="center" vertical="center"/>
      <protection locked="0"/>
    </xf>
    <xf numFmtId="0" fontId="57" fillId="18" borderId="52" xfId="9" applyFont="1" applyFill="1" applyBorder="1" applyAlignment="1" applyProtection="1">
      <alignment horizontal="center" vertical="center"/>
      <protection locked="0"/>
    </xf>
    <xf numFmtId="0" fontId="57" fillId="18" borderId="0" xfId="9" applyFont="1" applyFill="1" applyBorder="1" applyAlignment="1" applyProtection="1">
      <alignment horizontal="center" vertical="center"/>
      <protection locked="0"/>
    </xf>
    <xf numFmtId="0" fontId="57" fillId="18" borderId="28" xfId="9" applyFont="1" applyFill="1" applyBorder="1" applyAlignment="1" applyProtection="1">
      <alignment horizontal="center" vertical="center"/>
      <protection locked="0"/>
    </xf>
    <xf numFmtId="0" fontId="59" fillId="18" borderId="52" xfId="9" applyFont="1" applyFill="1" applyBorder="1" applyAlignment="1" applyProtection="1">
      <protection locked="0"/>
    </xf>
    <xf numFmtId="0" fontId="59" fillId="18" borderId="0" xfId="9" applyFont="1" applyFill="1" applyBorder="1" applyAlignment="1" applyProtection="1">
      <protection locked="0"/>
    </xf>
    <xf numFmtId="0" fontId="59" fillId="18" borderId="0" xfId="9" applyFont="1" applyFill="1" applyBorder="1" applyAlignment="1" applyProtection="1">
      <alignment horizontal="center" vertical="center"/>
      <protection locked="0"/>
    </xf>
    <xf numFmtId="0" fontId="59" fillId="18" borderId="28" xfId="9" applyFont="1" applyFill="1" applyBorder="1" applyAlignment="1" applyProtection="1">
      <protection locked="0"/>
    </xf>
    <xf numFmtId="0" fontId="57" fillId="18" borderId="52" xfId="9" applyFont="1" applyFill="1" applyBorder="1" applyProtection="1">
      <protection locked="0"/>
    </xf>
    <xf numFmtId="0" fontId="57" fillId="18" borderId="0" xfId="9" applyFont="1" applyFill="1" applyBorder="1" applyProtection="1"/>
    <xf numFmtId="0" fontId="59" fillId="18" borderId="0" xfId="9" applyFont="1" applyFill="1" applyBorder="1" applyAlignment="1" applyProtection="1">
      <alignment horizontal="center"/>
    </xf>
    <xf numFmtId="0" fontId="57" fillId="18" borderId="28" xfId="9" applyFont="1" applyFill="1" applyBorder="1" applyProtection="1">
      <protection locked="0"/>
    </xf>
    <xf numFmtId="0" fontId="61" fillId="16" borderId="144" xfId="9" applyFont="1" applyFill="1" applyBorder="1" applyAlignment="1" applyProtection="1">
      <alignment horizontal="center"/>
      <protection locked="0"/>
    </xf>
    <xf numFmtId="164" fontId="62" fillId="16" borderId="145" xfId="9" applyNumberFormat="1" applyFont="1" applyFill="1" applyBorder="1" applyAlignment="1" applyProtection="1">
      <alignment horizontal="center" vertical="center"/>
      <protection locked="0"/>
    </xf>
    <xf numFmtId="0" fontId="61" fillId="16" borderId="47" xfId="9" applyFont="1" applyFill="1" applyBorder="1" applyAlignment="1" applyProtection="1">
      <alignment horizontal="center" vertical="center"/>
      <protection locked="0"/>
    </xf>
    <xf numFmtId="164" fontId="62" fillId="16" borderId="147" xfId="9" applyNumberFormat="1" applyFont="1" applyFill="1" applyBorder="1" applyAlignment="1" applyProtection="1">
      <alignment horizontal="center" vertical="center"/>
      <protection locked="0"/>
    </xf>
    <xf numFmtId="0" fontId="61" fillId="16" borderId="149" xfId="9" applyFont="1" applyFill="1" applyBorder="1" applyAlignment="1" applyProtection="1">
      <alignment horizontal="center" vertical="center"/>
      <protection locked="0"/>
    </xf>
    <xf numFmtId="164" fontId="62" fillId="16" borderId="150" xfId="9" applyNumberFormat="1" applyFont="1" applyFill="1" applyBorder="1" applyAlignment="1" applyProtection="1">
      <alignment horizontal="center" vertical="center"/>
      <protection locked="0"/>
    </xf>
    <xf numFmtId="0" fontId="9" fillId="16" borderId="57" xfId="0" applyFont="1" applyFill="1" applyBorder="1" applyAlignment="1">
      <alignment horizontal="center" vertical="center" wrapText="1"/>
    </xf>
    <xf numFmtId="0" fontId="9" fillId="16" borderId="56" xfId="0" applyFont="1" applyFill="1" applyBorder="1" applyAlignment="1">
      <alignment horizontal="center" vertical="center" wrapText="1"/>
    </xf>
    <xf numFmtId="0" fontId="9" fillId="15" borderId="56"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6" borderId="9" xfId="0" applyFont="1" applyFill="1" applyBorder="1" applyAlignment="1">
      <alignment horizontal="center"/>
    </xf>
    <xf numFmtId="0" fontId="84" fillId="16" borderId="58" xfId="0" applyFont="1" applyFill="1" applyBorder="1" applyAlignment="1">
      <alignment horizontal="center" vertical="center"/>
    </xf>
    <xf numFmtId="1" fontId="9" fillId="15" borderId="0" xfId="0" applyNumberFormat="1" applyFont="1" applyFill="1" applyAlignment="1">
      <alignment horizontal="center"/>
    </xf>
    <xf numFmtId="164" fontId="45" fillId="15" borderId="58" xfId="1" applyNumberFormat="1" applyFont="1" applyFill="1" applyBorder="1" applyAlignment="1">
      <alignment horizontal="center"/>
    </xf>
    <xf numFmtId="164" fontId="86" fillId="15" borderId="58" xfId="0" applyNumberFormat="1" applyFont="1" applyFill="1" applyBorder="1" applyAlignment="1">
      <alignment horizontal="center"/>
    </xf>
    <xf numFmtId="0" fontId="9" fillId="16" borderId="60" xfId="0" applyFont="1" applyFill="1" applyBorder="1" applyAlignment="1">
      <alignment horizontal="center"/>
    </xf>
    <xf numFmtId="0" fontId="63" fillId="16" borderId="6" xfId="0" applyFont="1" applyFill="1" applyBorder="1" applyAlignment="1">
      <alignment horizontal="center" vertical="center"/>
    </xf>
    <xf numFmtId="0" fontId="85" fillId="16" borderId="1" xfId="0" applyFont="1" applyFill="1" applyBorder="1" applyAlignment="1">
      <alignment horizontal="center"/>
    </xf>
    <xf numFmtId="1" fontId="9" fillId="15" borderId="1" xfId="0" applyNumberFormat="1" applyFont="1" applyFill="1" applyBorder="1" applyAlignment="1">
      <alignment horizontal="center"/>
    </xf>
    <xf numFmtId="164" fontId="45" fillId="15" borderId="1" xfId="1" applyNumberFormat="1" applyFont="1" applyFill="1" applyBorder="1" applyAlignment="1">
      <alignment horizontal="center"/>
    </xf>
    <xf numFmtId="164" fontId="86" fillId="15" borderId="1" xfId="0" applyNumberFormat="1" applyFont="1" applyFill="1" applyBorder="1" applyAlignment="1">
      <alignment horizontal="center"/>
    </xf>
    <xf numFmtId="0" fontId="9" fillId="16" borderId="61" xfId="0" applyFont="1" applyFill="1" applyBorder="1" applyAlignment="1">
      <alignment horizontal="center" wrapText="1"/>
    </xf>
    <xf numFmtId="1" fontId="85" fillId="16" borderId="62" xfId="0" applyNumberFormat="1" applyFont="1" applyFill="1" applyBorder="1" applyAlignment="1">
      <alignment horizontal="center"/>
    </xf>
    <xf numFmtId="1" fontId="85" fillId="15" borderId="62" xfId="0" applyNumberFormat="1" applyFont="1" applyFill="1" applyBorder="1" applyAlignment="1">
      <alignment horizontal="center"/>
    </xf>
    <xf numFmtId="164" fontId="45" fillId="15" borderId="62" xfId="4" applyNumberFormat="1" applyFont="1" applyFill="1" applyBorder="1" applyAlignment="1">
      <alignment horizontal="center"/>
    </xf>
    <xf numFmtId="44" fontId="86" fillId="15" borderId="62" xfId="0" applyNumberFormat="1" applyFont="1" applyFill="1" applyBorder="1" applyAlignment="1">
      <alignment horizontal="center"/>
    </xf>
    <xf numFmtId="164" fontId="73" fillId="4" borderId="0" xfId="9" applyNumberFormat="1" applyFont="1" applyFill="1" applyBorder="1" applyAlignment="1" applyProtection="1"/>
    <xf numFmtId="164" fontId="73" fillId="4" borderId="28" xfId="9" applyNumberFormat="1" applyFont="1" applyFill="1" applyBorder="1" applyAlignment="1" applyProtection="1"/>
    <xf numFmtId="164" fontId="73" fillId="4" borderId="52" xfId="9" applyNumberFormat="1" applyFont="1" applyFill="1" applyBorder="1" applyAlignment="1" applyProtection="1">
      <alignment horizontal="right"/>
    </xf>
    <xf numFmtId="164" fontId="73" fillId="4" borderId="0" xfId="9" applyNumberFormat="1" applyFont="1" applyFill="1" applyBorder="1" applyAlignment="1" applyProtection="1">
      <alignment horizontal="right"/>
    </xf>
    <xf numFmtId="174" fontId="63" fillId="13" borderId="59" xfId="4" applyNumberFormat="1" applyFont="1" applyFill="1" applyBorder="1" applyAlignment="1">
      <alignment horizontal="center"/>
    </xf>
    <xf numFmtId="0" fontId="149" fillId="0" borderId="0" xfId="2" applyFont="1" applyAlignment="1">
      <alignment horizontal="left" vertical="center" wrapText="1"/>
    </xf>
    <xf numFmtId="0" fontId="15" fillId="0" borderId="0" xfId="2" applyFont="1" applyAlignment="1">
      <alignment horizontal="center" vertical="center" wrapText="1"/>
    </xf>
    <xf numFmtId="0" fontId="5" fillId="0" borderId="0" xfId="0" applyFont="1" applyBorder="1" applyAlignment="1"/>
    <xf numFmtId="0" fontId="33" fillId="0" borderId="0" xfId="3" applyFont="1" applyBorder="1" applyAlignment="1">
      <alignment horizontal="center" wrapText="1"/>
    </xf>
    <xf numFmtId="0" fontId="18" fillId="0" borderId="0" xfId="2" applyFont="1" applyBorder="1" applyAlignment="1">
      <alignment horizontal="left" vertical="center" wrapText="1"/>
    </xf>
    <xf numFmtId="0" fontId="18" fillId="0" borderId="40" xfId="2" applyFont="1" applyBorder="1" applyAlignment="1">
      <alignment horizontal="left" vertical="center" wrapText="1"/>
    </xf>
    <xf numFmtId="0" fontId="18" fillId="0" borderId="45" xfId="2" applyFont="1" applyBorder="1" applyAlignment="1">
      <alignment horizontal="left" vertical="center" wrapText="1"/>
    </xf>
    <xf numFmtId="0" fontId="18" fillId="0" borderId="46" xfId="2" applyFont="1" applyBorder="1" applyAlignment="1">
      <alignment horizontal="left" vertical="center" wrapText="1"/>
    </xf>
    <xf numFmtId="0" fontId="5" fillId="0" borderId="134" xfId="3" applyBorder="1" applyAlignment="1">
      <alignment horizontal="left" wrapText="1"/>
    </xf>
    <xf numFmtId="0" fontId="5" fillId="0" borderId="0" xfId="3" applyBorder="1" applyAlignment="1">
      <alignment horizontal="left" wrapText="1"/>
    </xf>
    <xf numFmtId="0" fontId="150" fillId="0" borderId="0" xfId="2" applyFont="1" applyAlignment="1">
      <alignment horizontal="center"/>
    </xf>
  </cellXfs>
  <cellStyles count="19">
    <cellStyle name="Comma" xfId="18" builtinId="3"/>
    <cellStyle name="Comma 2" xfId="10" xr:uid="{00000000-0005-0000-0000-000001000000}"/>
    <cellStyle name="Comma 2 2" xfId="12" xr:uid="{00000000-0005-0000-0000-000002000000}"/>
    <cellStyle name="Comma 2 2 2" xfId="17" xr:uid="{00000000-0005-0000-0000-000003000000}"/>
    <cellStyle name="Comma 2 3" xfId="15" xr:uid="{00000000-0005-0000-0000-000004000000}"/>
    <cellStyle name="Currency" xfId="1" builtinId="4"/>
    <cellStyle name="Followed Hyperlink" xfId="5" builtinId="9" hidden="1"/>
    <cellStyle name="Followed Hyperlink" xfId="7" builtinId="9" hidden="1"/>
    <cellStyle name="Hyperlink" xfId="6" builtinId="8" hidden="1"/>
    <cellStyle name="Hyperlink" xfId="8" builtinId="8" hidden="1"/>
    <cellStyle name="Normal" xfId="0" builtinId="0"/>
    <cellStyle name="Normal 2" xfId="2" xr:uid="{00000000-0005-0000-0000-00000B000000}"/>
    <cellStyle name="Normal 3" xfId="3" xr:uid="{00000000-0005-0000-0000-00000C000000}"/>
    <cellStyle name="Normal 4" xfId="9" xr:uid="{00000000-0005-0000-0000-00000D000000}"/>
    <cellStyle name="Normal 4 2" xfId="11" xr:uid="{00000000-0005-0000-0000-00000E000000}"/>
    <cellStyle name="Normal 4 2 2" xfId="16" xr:uid="{00000000-0005-0000-0000-00000F000000}"/>
    <cellStyle name="Normal 4 3" xfId="14" xr:uid="{00000000-0005-0000-0000-000010000000}"/>
    <cellStyle name="Percent" xfId="13" builtinId="5"/>
    <cellStyle name="Percent 2" xfId="4" xr:uid="{00000000-0005-0000-0000-000012000000}"/>
  </cellStyles>
  <dxfs count="0"/>
  <tableStyles count="0" defaultTableStyle="TableStyleMedium2" defaultPivotStyle="PivotStyleLight16"/>
  <colors>
    <mruColors>
      <color rgb="FFFF99CC"/>
      <color rgb="FFFF7C80"/>
      <color rgb="FFFFFFCC"/>
      <color rgb="FFFFCC99"/>
      <color rgb="FFFF33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Comparison</a:t>
            </a:r>
          </a:p>
        </c:rich>
      </c:tx>
      <c:layout>
        <c:manualLayout>
          <c:xMode val="edge"/>
          <c:yMode val="edge"/>
          <c:x val="0.37663031574378553"/>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w="6350">
          <a:noFill/>
        </a:ln>
        <a:effectLst/>
        <a:sp3d>
          <a:contourClr>
            <a:srgbClr val="002060"/>
          </a:contourClr>
        </a:sp3d>
      </c:spPr>
    </c:sideWall>
    <c:backWall>
      <c:thickness val="0"/>
      <c:spPr>
        <a:noFill/>
        <a:ln w="6350">
          <a:noFill/>
        </a:ln>
        <a:effectLst/>
        <a:sp3d>
          <a:contourClr>
            <a:srgbClr val="002060"/>
          </a:contourClr>
        </a:sp3d>
      </c:spPr>
    </c:backWall>
    <c:plotArea>
      <c:layout/>
      <c:bar3DChart>
        <c:barDir val="col"/>
        <c:grouping val="clustered"/>
        <c:varyColors val="0"/>
        <c:ser>
          <c:idx val="1"/>
          <c:order val="1"/>
          <c:tx>
            <c:strRef>
              <c:f>'3. Pre-Post Solar Costs'!$D$2</c:f>
              <c:strCache>
                <c:ptCount val="1"/>
                <c:pt idx="0">
                  <c:v>Current Utility Cost Monthly</c:v>
                </c:pt>
              </c:strCache>
            </c:strRef>
          </c:tx>
          <c:spPr>
            <a:solidFill>
              <a:srgbClr val="FF0000"/>
            </a:solidFill>
            <a:ln>
              <a:noFill/>
            </a:ln>
            <a:effectLst/>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 Pre-Post Solar Costs'!$D$3:$D$14</c:f>
              <c:numCache>
                <c:formatCode>"$"#,##0.00</c:formatCode>
                <c:ptCount val="12"/>
                <c:pt idx="0">
                  <c:v>4709.3</c:v>
                </c:pt>
                <c:pt idx="1">
                  <c:v>4798.74</c:v>
                </c:pt>
                <c:pt idx="2">
                  <c:v>4872.41</c:v>
                </c:pt>
                <c:pt idx="3">
                  <c:v>5288.31</c:v>
                </c:pt>
                <c:pt idx="4">
                  <c:v>8166.94</c:v>
                </c:pt>
                <c:pt idx="5">
                  <c:v>8677.58</c:v>
                </c:pt>
                <c:pt idx="6">
                  <c:v>9494.07</c:v>
                </c:pt>
                <c:pt idx="7">
                  <c:v>9301.19</c:v>
                </c:pt>
                <c:pt idx="8">
                  <c:v>6735.07</c:v>
                </c:pt>
                <c:pt idx="9">
                  <c:v>5440.68</c:v>
                </c:pt>
                <c:pt idx="10">
                  <c:v>5035.53</c:v>
                </c:pt>
                <c:pt idx="11">
                  <c:v>4930.3</c:v>
                </c:pt>
              </c:numCache>
            </c:numRef>
          </c:val>
          <c:extLst>
            <c:ext xmlns:c16="http://schemas.microsoft.com/office/drawing/2014/chart" uri="{C3380CC4-5D6E-409C-BE32-E72D297353CC}">
              <c16:uniqueId val="{00000000-04CD-4790-8BD8-F8EDC2702DB7}"/>
            </c:ext>
          </c:extLst>
        </c:ser>
        <c:ser>
          <c:idx val="4"/>
          <c:order val="4"/>
          <c:tx>
            <c:strRef>
              <c:f>'3. Pre-Post Solar Costs'!$G$2</c:f>
              <c:strCache>
                <c:ptCount val="1"/>
                <c:pt idx="0">
                  <c:v>Anticipated Post Solar Costs If Self Comsumed</c:v>
                </c:pt>
              </c:strCache>
            </c:strRef>
          </c:tx>
          <c:spPr>
            <a:solidFill>
              <a:srgbClr val="92D050"/>
            </a:solidFill>
            <a:ln>
              <a:noFill/>
            </a:ln>
            <a:effectLst/>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 Pre-Post Solar Costs'!$G$3:$G$14</c:f>
              <c:numCache>
                <c:formatCode>"$"#,##0.00</c:formatCode>
                <c:ptCount val="12"/>
                <c:pt idx="0">
                  <c:v>1218.0631744467623</c:v>
                </c:pt>
                <c:pt idx="1">
                  <c:v>1383.2279566128777</c:v>
                </c:pt>
                <c:pt idx="2">
                  <c:v>543.09985448791849</c:v>
                </c:pt>
                <c:pt idx="3">
                  <c:v>503.70542342618592</c:v>
                </c:pt>
                <c:pt idx="4">
                  <c:v>2624.1305542890213</c:v>
                </c:pt>
                <c:pt idx="5">
                  <c:v>3560.8808111094077</c:v>
                </c:pt>
                <c:pt idx="6">
                  <c:v>4343.9821251357889</c:v>
                </c:pt>
                <c:pt idx="7">
                  <c:v>4263.6868919749732</c:v>
                </c:pt>
                <c:pt idx="8">
                  <c:v>2752.1232765757363</c:v>
                </c:pt>
                <c:pt idx="9">
                  <c:v>1355.0381437752012</c:v>
                </c:pt>
                <c:pt idx="10">
                  <c:v>1362.5373594513908</c:v>
                </c:pt>
                <c:pt idx="11">
                  <c:v>1878.6487768759457</c:v>
                </c:pt>
              </c:numCache>
            </c:numRef>
          </c:val>
          <c:extLst>
            <c:ext xmlns:c16="http://schemas.microsoft.com/office/drawing/2014/chart" uri="{C3380CC4-5D6E-409C-BE32-E72D297353CC}">
              <c16:uniqueId val="{00000001-04CD-4790-8BD8-F8EDC2702DB7}"/>
            </c:ext>
          </c:extLst>
        </c:ser>
        <c:dLbls>
          <c:showLegendKey val="0"/>
          <c:showVal val="0"/>
          <c:showCatName val="0"/>
          <c:showSerName val="0"/>
          <c:showPercent val="0"/>
          <c:showBubbleSize val="0"/>
        </c:dLbls>
        <c:gapWidth val="150"/>
        <c:shape val="box"/>
        <c:axId val="1124838048"/>
        <c:axId val="1124810480"/>
        <c:axId val="0"/>
        <c:extLst>
          <c:ext xmlns:c15="http://schemas.microsoft.com/office/drawing/2012/chart" uri="{02D57815-91ED-43cb-92C2-25804820EDAC}">
            <c15:filteredBarSeries>
              <c15:ser>
                <c:idx val="0"/>
                <c:order val="0"/>
                <c:tx>
                  <c:strRef>
                    <c:extLst>
                      <c:ext uri="{02D57815-91ED-43cb-92C2-25804820EDAC}">
                        <c15:formulaRef>
                          <c15:sqref>'3. Pre-Post Solar Costs'!$C$2</c15:sqref>
                        </c15:formulaRef>
                      </c:ext>
                    </c:extLst>
                    <c:strCache>
                      <c:ptCount val="1"/>
                      <c:pt idx="0">
                        <c:v>Current Consumption Loads Monthly</c:v>
                      </c:pt>
                    </c:strCache>
                  </c:strRef>
                </c:tx>
                <c:spPr>
                  <a:solidFill>
                    <a:schemeClr val="accent1"/>
                  </a:solidFill>
                  <a:ln>
                    <a:noFill/>
                  </a:ln>
                  <a:effectLst/>
                  <a:sp3d/>
                </c:spPr>
                <c:invertIfNegative val="0"/>
                <c:cat>
                  <c:strRef>
                    <c:extLst>
                      <c:ex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uri="{02D57815-91ED-43cb-92C2-25804820EDAC}">
                        <c15:formulaRef>
                          <c15:sqref>'3. Pre-Post Solar Costs'!$C$3:$C$14</c15:sqref>
                        </c15:formulaRef>
                      </c:ext>
                    </c:extLst>
                    <c:numCache>
                      <c:formatCode>General</c:formatCode>
                      <c:ptCount val="12"/>
                      <c:pt idx="0">
                        <c:v>35360</c:v>
                      </c:pt>
                      <c:pt idx="1">
                        <c:v>36040</c:v>
                      </c:pt>
                      <c:pt idx="2">
                        <c:v>36600</c:v>
                      </c:pt>
                      <c:pt idx="3">
                        <c:v>39360</c:v>
                      </c:pt>
                      <c:pt idx="4">
                        <c:v>53720</c:v>
                      </c:pt>
                      <c:pt idx="5">
                        <c:v>57080</c:v>
                      </c:pt>
                      <c:pt idx="6">
                        <c:v>63000</c:v>
                      </c:pt>
                      <c:pt idx="7">
                        <c:v>61720</c:v>
                      </c:pt>
                      <c:pt idx="8">
                        <c:v>50760</c:v>
                      </c:pt>
                      <c:pt idx="9">
                        <c:v>40920</c:v>
                      </c:pt>
                      <c:pt idx="10">
                        <c:v>37840</c:v>
                      </c:pt>
                      <c:pt idx="11">
                        <c:v>37040</c:v>
                      </c:pt>
                    </c:numCache>
                  </c:numRef>
                </c:val>
                <c:extLst>
                  <c:ext xmlns:c16="http://schemas.microsoft.com/office/drawing/2014/chart" uri="{C3380CC4-5D6E-409C-BE32-E72D297353CC}">
                    <c16:uniqueId val="{00000002-04CD-4790-8BD8-F8EDC2702DB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 Pre-Post Solar Costs'!$E$2</c15:sqref>
                        </c15:formulaRef>
                      </c:ext>
                    </c:extLst>
                    <c:strCache>
                      <c:ptCount val="1"/>
                      <c:pt idx="0">
                        <c:v>Monthly kWh PV Production per NREL</c:v>
                      </c:pt>
                    </c:strCache>
                  </c:strRef>
                </c:tx>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'3. Pre-Post Solar Costs'!$E$3:$E$14</c15:sqref>
                        </c15:formulaRef>
                      </c:ext>
                    </c:extLst>
                    <c:numCache>
                      <c:formatCode>0</c:formatCode>
                      <c:ptCount val="12"/>
                      <c:pt idx="0">
                        <c:v>28342.203125</c:v>
                      </c:pt>
                      <c:pt idx="1">
                        <c:v>27734.48046875</c:v>
                      </c:pt>
                      <c:pt idx="2">
                        <c:v>35161.63671875</c:v>
                      </c:pt>
                      <c:pt idx="3">
                        <c:v>38474.60546875</c:v>
                      </c:pt>
                      <c:pt idx="4">
                        <c:v>39026.1953125</c:v>
                      </c:pt>
                      <c:pt idx="5">
                        <c:v>36026.78125</c:v>
                      </c:pt>
                      <c:pt idx="6">
                        <c:v>36603.44921875</c:v>
                      </c:pt>
                      <c:pt idx="7">
                        <c:v>35803.20703125</c:v>
                      </c:pt>
                      <c:pt idx="8">
                        <c:v>32464.9296875</c:v>
                      </c:pt>
                      <c:pt idx="9">
                        <c:v>33227.69140625</c:v>
                      </c:pt>
                      <c:pt idx="10">
                        <c:v>29843.7109375</c:v>
                      </c:pt>
                      <c:pt idx="11">
                        <c:v>24788.517578129999</c:v>
                      </c:pt>
                    </c:numCache>
                  </c:numRef>
                </c:val>
                <c:extLst xmlns:c15="http://schemas.microsoft.com/office/drawing/2012/chart">
                  <c:ext xmlns:c16="http://schemas.microsoft.com/office/drawing/2014/chart" uri="{C3380CC4-5D6E-409C-BE32-E72D297353CC}">
                    <c16:uniqueId val="{00000003-04CD-4790-8BD8-F8EDC2702DB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 Pre-Post Solar Costs'!$F$2</c15:sqref>
                        </c15:formulaRef>
                      </c:ext>
                    </c:extLst>
                    <c:strCache>
                      <c:ptCount val="1"/>
                      <c:pt idx="0">
                        <c:v>Solar Value if Self Consumed</c:v>
                      </c:pt>
                    </c:strCache>
                  </c:strRef>
                </c:tx>
                <c:spPr>
                  <a:solidFill>
                    <a:schemeClr val="accent4"/>
                  </a:solidFill>
                  <a:ln>
                    <a:noFill/>
                  </a:ln>
                  <a:effectLst/>
                  <a:sp3d/>
                </c:spPr>
                <c:invertIfNegative val="0"/>
                <c:cat>
                  <c:strRef>
                    <c:extLst xmlns:c15="http://schemas.microsoft.com/office/drawing/2012/chart">
                      <c:ext xmlns:c15="http://schemas.microsoft.com/office/drawing/2012/char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'3. Pre-Post Solar Costs'!$F$3:$F$14</c15:sqref>
                        </c15:formulaRef>
                      </c:ext>
                    </c:extLst>
                    <c:numCache>
                      <c:formatCode>"$"#,##0.00</c:formatCode>
                      <c:ptCount val="12"/>
                      <c:pt idx="0">
                        <c:v>3491.2368255532378</c:v>
                      </c:pt>
                      <c:pt idx="1">
                        <c:v>3415.512043387122</c:v>
                      </c:pt>
                      <c:pt idx="2">
                        <c:v>4329.3101455120814</c:v>
                      </c:pt>
                      <c:pt idx="3">
                        <c:v>4784.6045765738145</c:v>
                      </c:pt>
                      <c:pt idx="4">
                        <c:v>5542.8094457109783</c:v>
                      </c:pt>
                      <c:pt idx="5">
                        <c:v>5116.6991888905923</c:v>
                      </c:pt>
                      <c:pt idx="6">
                        <c:v>5150.0878748642108</c:v>
                      </c:pt>
                      <c:pt idx="7">
                        <c:v>5037.5031080250274</c:v>
                      </c:pt>
                      <c:pt idx="8">
                        <c:v>3982.9467234242634</c:v>
                      </c:pt>
                      <c:pt idx="9">
                        <c:v>4085.6418562247991</c:v>
                      </c:pt>
                      <c:pt idx="10">
                        <c:v>3672.992640548609</c:v>
                      </c:pt>
                      <c:pt idx="11">
                        <c:v>3051.6512231240545</c:v>
                      </c:pt>
                    </c:numCache>
                  </c:numRef>
                </c:val>
                <c:extLst xmlns:c15="http://schemas.microsoft.com/office/drawing/2012/chart">
                  <c:ext xmlns:c16="http://schemas.microsoft.com/office/drawing/2014/chart" uri="{C3380CC4-5D6E-409C-BE32-E72D297353CC}">
                    <c16:uniqueId val="{00000004-04CD-4790-8BD8-F8EDC2702DB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'3. Pre-Post Solar Costs'!$H$2</c15:sqref>
                        </c15:formulaRef>
                      </c:ext>
                    </c:extLst>
                    <c:strCache>
                      <c:ptCount val="1"/>
                      <c:pt idx="0">
                        <c:v>Cost per kWh month by month</c:v>
                      </c:pt>
                    </c:strCache>
                  </c:strRef>
                </c:tx>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'3. Pre-Post Solar Costs'!$H$3:$H$14</c15:sqref>
                        </c15:formulaRef>
                      </c:ext>
                    </c:extLst>
                    <c:numCache>
                      <c:formatCode>"$"#,##0.000</c:formatCode>
                      <c:ptCount val="12"/>
                      <c:pt idx="0">
                        <c:v>0.13318156108597284</c:v>
                      </c:pt>
                      <c:pt idx="1">
                        <c:v>0.1331503884572697</c:v>
                      </c:pt>
                      <c:pt idx="2">
                        <c:v>0.133125956284153</c:v>
                      </c:pt>
                      <c:pt idx="3">
                        <c:v>0.13435746951219513</c:v>
                      </c:pt>
                      <c:pt idx="4">
                        <c:v>0.15202792256142963</c:v>
                      </c:pt>
                      <c:pt idx="5">
                        <c:v>0.15202487736510162</c:v>
                      </c:pt>
                      <c:pt idx="6">
                        <c:v>0.15069952380952381</c:v>
                      </c:pt>
                      <c:pt idx="7">
                        <c:v>0.15069977316915101</c:v>
                      </c:pt>
                      <c:pt idx="8">
                        <c:v>0.1326845941686367</c:v>
                      </c:pt>
                      <c:pt idx="9">
                        <c:v>0.13295894428152494</c:v>
                      </c:pt>
                      <c:pt idx="10">
                        <c:v>0.13307426004228329</c:v>
                      </c:pt>
                      <c:pt idx="11">
                        <c:v>0.13310745140388769</c:v>
                      </c:pt>
                    </c:numCache>
                  </c:numRef>
                </c:val>
                <c:extLst xmlns:c15="http://schemas.microsoft.com/office/drawing/2012/chart">
                  <c:ext xmlns:c16="http://schemas.microsoft.com/office/drawing/2014/chart" uri="{C3380CC4-5D6E-409C-BE32-E72D297353CC}">
                    <c16:uniqueId val="{00000005-04CD-4790-8BD8-F8EDC2702DB7}"/>
                  </c:ext>
                </c:extLst>
              </c15:ser>
            </c15:filteredBarSeries>
          </c:ext>
        </c:extLst>
      </c:bar3DChart>
      <c:catAx>
        <c:axId val="1124838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810480"/>
        <c:crosses val="autoZero"/>
        <c:auto val="1"/>
        <c:lblAlgn val="ctr"/>
        <c:lblOffset val="100"/>
        <c:noMultiLvlLbl val="0"/>
      </c:catAx>
      <c:valAx>
        <c:axId val="1124810480"/>
        <c:scaling>
          <c:orientation val="minMax"/>
        </c:scaling>
        <c:delete val="0"/>
        <c:axPos val="l"/>
        <c:majorGridlines>
          <c:spPr>
            <a:ln w="317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838048"/>
        <c:crosses val="autoZero"/>
        <c:crossBetween val="between"/>
      </c:valAx>
      <c:spPr>
        <a:noFill/>
        <a:ln w="952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'3. Pre-Post Solar Costs'!$C$2</c:f>
              <c:strCache>
                <c:ptCount val="1"/>
                <c:pt idx="0">
                  <c:v>Current Consumption Loads Monthly</c:v>
                </c:pt>
              </c:strCache>
              <c:extLst xmlns:c15="http://schemas.microsoft.com/office/drawing/2012/chart"/>
            </c:strRef>
          </c:tx>
          <c:spPr>
            <a:solidFill>
              <a:schemeClr val="accent1"/>
            </a:solidFill>
            <a:ln>
              <a:noFill/>
            </a:ln>
            <a:effectLst/>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extLst xmlns:c15="http://schemas.microsoft.com/office/drawing/2012/chart"/>
            </c:strRef>
          </c:cat>
          <c:val>
            <c:numRef>
              <c:f>'3. Pre-Post Solar Costs'!$C$3:$C$14</c:f>
              <c:numCache>
                <c:formatCode>General</c:formatCode>
                <c:ptCount val="12"/>
                <c:pt idx="0">
                  <c:v>35360</c:v>
                </c:pt>
                <c:pt idx="1">
                  <c:v>36040</c:v>
                </c:pt>
                <c:pt idx="2">
                  <c:v>36600</c:v>
                </c:pt>
                <c:pt idx="3">
                  <c:v>39360</c:v>
                </c:pt>
                <c:pt idx="4">
                  <c:v>53720</c:v>
                </c:pt>
                <c:pt idx="5">
                  <c:v>57080</c:v>
                </c:pt>
                <c:pt idx="6">
                  <c:v>63000</c:v>
                </c:pt>
                <c:pt idx="7">
                  <c:v>61720</c:v>
                </c:pt>
                <c:pt idx="8">
                  <c:v>50760</c:v>
                </c:pt>
                <c:pt idx="9">
                  <c:v>40920</c:v>
                </c:pt>
                <c:pt idx="10">
                  <c:v>37840</c:v>
                </c:pt>
                <c:pt idx="11">
                  <c:v>37040</c:v>
                </c:pt>
              </c:numCache>
              <c:extLst xmlns:c15="http://schemas.microsoft.com/office/drawing/2012/chart"/>
            </c:numRef>
          </c:val>
          <c:extLst xmlns:c15="http://schemas.microsoft.com/office/drawing/2012/chart">
            <c:ext xmlns:c16="http://schemas.microsoft.com/office/drawing/2014/chart" uri="{C3380CC4-5D6E-409C-BE32-E72D297353CC}">
              <c16:uniqueId val="{00000002-2777-4AF2-9FB3-98F2C803EE7D}"/>
            </c:ext>
          </c:extLst>
        </c:ser>
        <c:ser>
          <c:idx val="1"/>
          <c:order val="1"/>
          <c:tx>
            <c:strRef>
              <c:f>'3. Pre-Post Solar Costs'!$D$2</c:f>
              <c:strCache>
                <c:ptCount val="1"/>
                <c:pt idx="0">
                  <c:v>Current Utility Cost Monthly</c:v>
                </c:pt>
              </c:strCache>
            </c:strRef>
          </c:tx>
          <c:spPr>
            <a:solidFill>
              <a:srgbClr val="FF0000"/>
            </a:solidFill>
            <a:ln>
              <a:solidFill>
                <a:srgbClr val="FF0000"/>
              </a:solidFill>
            </a:ln>
            <a:effectLst/>
            <a:sp3d>
              <a:contourClr>
                <a:srgbClr val="FF0000"/>
              </a:contourClr>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 Pre-Post Solar Costs'!$D$3:$D$14</c:f>
              <c:numCache>
                <c:formatCode>"$"#,##0.00</c:formatCode>
                <c:ptCount val="12"/>
                <c:pt idx="0">
                  <c:v>4709.3</c:v>
                </c:pt>
                <c:pt idx="1">
                  <c:v>4798.74</c:v>
                </c:pt>
                <c:pt idx="2">
                  <c:v>4872.41</c:v>
                </c:pt>
                <c:pt idx="3">
                  <c:v>5288.31</c:v>
                </c:pt>
                <c:pt idx="4">
                  <c:v>8166.94</c:v>
                </c:pt>
                <c:pt idx="5">
                  <c:v>8677.58</c:v>
                </c:pt>
                <c:pt idx="6">
                  <c:v>9494.07</c:v>
                </c:pt>
                <c:pt idx="7">
                  <c:v>9301.19</c:v>
                </c:pt>
                <c:pt idx="8">
                  <c:v>6735.07</c:v>
                </c:pt>
                <c:pt idx="9">
                  <c:v>5440.68</c:v>
                </c:pt>
                <c:pt idx="10">
                  <c:v>5035.53</c:v>
                </c:pt>
                <c:pt idx="11">
                  <c:v>4930.3</c:v>
                </c:pt>
              </c:numCache>
            </c:numRef>
          </c:val>
          <c:extLst>
            <c:ext xmlns:c16="http://schemas.microsoft.com/office/drawing/2014/chart" uri="{C3380CC4-5D6E-409C-BE32-E72D297353CC}">
              <c16:uniqueId val="{00000000-2777-4AF2-9FB3-98F2C803EE7D}"/>
            </c:ext>
          </c:extLst>
        </c:ser>
        <c:ser>
          <c:idx val="2"/>
          <c:order val="2"/>
          <c:tx>
            <c:strRef>
              <c:f>'3. Pre-Post Solar Costs'!$E$2</c:f>
              <c:strCache>
                <c:ptCount val="1"/>
                <c:pt idx="0">
                  <c:v>Monthly kWh PV Production per NREL</c:v>
                </c:pt>
              </c:strCache>
              <c:extLst xmlns:c15="http://schemas.microsoft.com/office/drawing/2012/chart"/>
            </c:strRef>
          </c:tx>
          <c:spPr>
            <a:solidFill>
              <a:schemeClr val="accent3"/>
            </a:solidFill>
            <a:ln>
              <a:noFill/>
            </a:ln>
            <a:effectLst/>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extLst xmlns:c15="http://schemas.microsoft.com/office/drawing/2012/chart"/>
            </c:strRef>
          </c:cat>
          <c:val>
            <c:numRef>
              <c:f>'3. Pre-Post Solar Costs'!$E$3:$E$14</c:f>
              <c:numCache>
                <c:formatCode>0</c:formatCode>
                <c:ptCount val="12"/>
                <c:pt idx="0">
                  <c:v>28342.203125</c:v>
                </c:pt>
                <c:pt idx="1">
                  <c:v>27734.48046875</c:v>
                </c:pt>
                <c:pt idx="2">
                  <c:v>35161.63671875</c:v>
                </c:pt>
                <c:pt idx="3">
                  <c:v>38474.60546875</c:v>
                </c:pt>
                <c:pt idx="4">
                  <c:v>39026.1953125</c:v>
                </c:pt>
                <c:pt idx="5">
                  <c:v>36026.78125</c:v>
                </c:pt>
                <c:pt idx="6">
                  <c:v>36603.44921875</c:v>
                </c:pt>
                <c:pt idx="7">
                  <c:v>35803.20703125</c:v>
                </c:pt>
                <c:pt idx="8">
                  <c:v>32464.9296875</c:v>
                </c:pt>
                <c:pt idx="9">
                  <c:v>33227.69140625</c:v>
                </c:pt>
                <c:pt idx="10">
                  <c:v>29843.7109375</c:v>
                </c:pt>
                <c:pt idx="11">
                  <c:v>24788.517578129999</c:v>
                </c:pt>
              </c:numCache>
              <c:extLst xmlns:c15="http://schemas.microsoft.com/office/drawing/2012/chart"/>
            </c:numRef>
          </c:val>
          <c:extLst xmlns:c15="http://schemas.microsoft.com/office/drawing/2012/chart">
            <c:ext xmlns:c16="http://schemas.microsoft.com/office/drawing/2014/chart" uri="{C3380CC4-5D6E-409C-BE32-E72D297353CC}">
              <c16:uniqueId val="{00000003-2777-4AF2-9FB3-98F2C803EE7D}"/>
            </c:ext>
          </c:extLst>
        </c:ser>
        <c:ser>
          <c:idx val="4"/>
          <c:order val="4"/>
          <c:tx>
            <c:strRef>
              <c:f>'3. Pre-Post Solar Costs'!$G$2</c:f>
              <c:strCache>
                <c:ptCount val="1"/>
                <c:pt idx="0">
                  <c:v>Anticipated Post Solar Costs If Self Comsumed</c:v>
                </c:pt>
              </c:strCache>
            </c:strRef>
          </c:tx>
          <c:spPr>
            <a:solidFill>
              <a:srgbClr val="00B050"/>
            </a:solidFill>
            <a:ln>
              <a:noFill/>
            </a:ln>
            <a:effectLst/>
            <a:sp3d/>
          </c:spPr>
          <c:invertIfNegative val="0"/>
          <c:cat>
            <c:strRef>
              <c:f>'3. Pre-Post Solar Costs'!$B$3:$B$14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'3. Pre-Post Solar Costs'!$G$3:$G$14</c:f>
              <c:numCache>
                <c:formatCode>"$"#,##0.00</c:formatCode>
                <c:ptCount val="12"/>
                <c:pt idx="0">
                  <c:v>1218.0631744467623</c:v>
                </c:pt>
                <c:pt idx="1">
                  <c:v>1383.2279566128777</c:v>
                </c:pt>
                <c:pt idx="2">
                  <c:v>543.09985448791849</c:v>
                </c:pt>
                <c:pt idx="3">
                  <c:v>503.70542342618592</c:v>
                </c:pt>
                <c:pt idx="4">
                  <c:v>2624.1305542890213</c:v>
                </c:pt>
                <c:pt idx="5">
                  <c:v>3560.8808111094077</c:v>
                </c:pt>
                <c:pt idx="6">
                  <c:v>4343.9821251357889</c:v>
                </c:pt>
                <c:pt idx="7">
                  <c:v>4263.6868919749732</c:v>
                </c:pt>
                <c:pt idx="8">
                  <c:v>2752.1232765757363</c:v>
                </c:pt>
                <c:pt idx="9">
                  <c:v>1355.0381437752012</c:v>
                </c:pt>
                <c:pt idx="10">
                  <c:v>1362.5373594513908</c:v>
                </c:pt>
                <c:pt idx="11">
                  <c:v>1878.6487768759457</c:v>
                </c:pt>
              </c:numCache>
            </c:numRef>
          </c:val>
          <c:extLst>
            <c:ext xmlns:c16="http://schemas.microsoft.com/office/drawing/2014/chart" uri="{C3380CC4-5D6E-409C-BE32-E72D297353CC}">
              <c16:uniqueId val="{00000001-2777-4AF2-9FB3-98F2C803EE7D}"/>
            </c:ext>
          </c:extLst>
        </c:ser>
        <c:dLbls>
          <c:showLegendKey val="0"/>
          <c:showVal val="0"/>
          <c:showCatName val="0"/>
          <c:showSerName val="0"/>
          <c:showPercent val="0"/>
          <c:showBubbleSize val="0"/>
        </c:dLbls>
        <c:gapWidth val="150"/>
        <c:shape val="box"/>
        <c:axId val="1124838048"/>
        <c:axId val="1124810480"/>
        <c:axId val="0"/>
        <c:extLst>
          <c:ext xmlns:c15="http://schemas.microsoft.com/office/drawing/2012/chart" uri="{02D57815-91ED-43cb-92C2-25804820EDAC}">
            <c15:filteredBarSeries>
              <c15:ser>
                <c:idx val="3"/>
                <c:order val="3"/>
                <c:tx>
                  <c:strRef>
                    <c:extLst>
                      <c:ext uri="{02D57815-91ED-43cb-92C2-25804820EDAC}">
                        <c15:formulaRef>
                          <c15:sqref>'3. Pre-Post Solar Costs'!$F$2</c15:sqref>
                        </c15:formulaRef>
                      </c:ext>
                    </c:extLst>
                    <c:strCache>
                      <c:ptCount val="1"/>
                      <c:pt idx="0">
                        <c:v>Solar Value if Self Consumed</c:v>
                      </c:pt>
                    </c:strCache>
                  </c:strRef>
                </c:tx>
                <c:spPr>
                  <a:solidFill>
                    <a:schemeClr val="accent4"/>
                  </a:solidFill>
                  <a:ln>
                    <a:noFill/>
                  </a:ln>
                  <a:effectLst/>
                  <a:sp3d/>
                </c:spPr>
                <c:invertIfNegative val="0"/>
                <c:cat>
                  <c:strRef>
                    <c:extLst>
                      <c:ex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uri="{02D57815-91ED-43cb-92C2-25804820EDAC}">
                        <c15:formulaRef>
                          <c15:sqref>'3. Pre-Post Solar Costs'!$F$3:$F$14</c15:sqref>
                        </c15:formulaRef>
                      </c:ext>
                    </c:extLst>
                    <c:numCache>
                      <c:formatCode>"$"#,##0.00</c:formatCode>
                      <c:ptCount val="12"/>
                      <c:pt idx="0">
                        <c:v>3491.2368255532378</c:v>
                      </c:pt>
                      <c:pt idx="1">
                        <c:v>3415.512043387122</c:v>
                      </c:pt>
                      <c:pt idx="2">
                        <c:v>4329.3101455120814</c:v>
                      </c:pt>
                      <c:pt idx="3">
                        <c:v>4784.6045765738145</c:v>
                      </c:pt>
                      <c:pt idx="4">
                        <c:v>5542.8094457109783</c:v>
                      </c:pt>
                      <c:pt idx="5">
                        <c:v>5116.6991888905923</c:v>
                      </c:pt>
                      <c:pt idx="6">
                        <c:v>5150.0878748642108</c:v>
                      </c:pt>
                      <c:pt idx="7">
                        <c:v>5037.5031080250274</c:v>
                      </c:pt>
                      <c:pt idx="8">
                        <c:v>3982.9467234242634</c:v>
                      </c:pt>
                      <c:pt idx="9">
                        <c:v>4085.6418562247991</c:v>
                      </c:pt>
                      <c:pt idx="10">
                        <c:v>3672.992640548609</c:v>
                      </c:pt>
                      <c:pt idx="11">
                        <c:v>3051.6512231240545</c:v>
                      </c:pt>
                    </c:numCache>
                  </c:numRef>
                </c:val>
                <c:extLst>
                  <c:ext xmlns:c16="http://schemas.microsoft.com/office/drawing/2014/chart" uri="{C3380CC4-5D6E-409C-BE32-E72D297353CC}">
                    <c16:uniqueId val="{00000004-2777-4AF2-9FB3-98F2C803EE7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'3. Pre-Post Solar Costs'!$H$2</c15:sqref>
                        </c15:formulaRef>
                      </c:ext>
                    </c:extLst>
                    <c:strCache>
                      <c:ptCount val="1"/>
                      <c:pt idx="0">
                        <c:v>Cost per kWh month by month</c:v>
                      </c:pt>
                    </c:strCache>
                  </c:strRef>
                </c:tx>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'3. Pre-Post Solar Costs'!$B$3:$B$14</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xmlns:c15="http://schemas.microsoft.com/office/drawing/2012/chart">
                      <c:ext xmlns:c15="http://schemas.microsoft.com/office/drawing/2012/chart" uri="{02D57815-91ED-43cb-92C2-25804820EDAC}">
                        <c15:formulaRef>
                          <c15:sqref>'3. Pre-Post Solar Costs'!$H$3:$H$14</c15:sqref>
                        </c15:formulaRef>
                      </c:ext>
                    </c:extLst>
                    <c:numCache>
                      <c:formatCode>"$"#,##0.000</c:formatCode>
                      <c:ptCount val="12"/>
                      <c:pt idx="0">
                        <c:v>0.13318156108597284</c:v>
                      </c:pt>
                      <c:pt idx="1">
                        <c:v>0.1331503884572697</c:v>
                      </c:pt>
                      <c:pt idx="2">
                        <c:v>0.133125956284153</c:v>
                      </c:pt>
                      <c:pt idx="3">
                        <c:v>0.13435746951219513</c:v>
                      </c:pt>
                      <c:pt idx="4">
                        <c:v>0.15202792256142963</c:v>
                      </c:pt>
                      <c:pt idx="5">
                        <c:v>0.15202487736510162</c:v>
                      </c:pt>
                      <c:pt idx="6">
                        <c:v>0.15069952380952381</c:v>
                      </c:pt>
                      <c:pt idx="7">
                        <c:v>0.15069977316915101</c:v>
                      </c:pt>
                      <c:pt idx="8">
                        <c:v>0.1326845941686367</c:v>
                      </c:pt>
                      <c:pt idx="9">
                        <c:v>0.13295894428152494</c:v>
                      </c:pt>
                      <c:pt idx="10">
                        <c:v>0.13307426004228329</c:v>
                      </c:pt>
                      <c:pt idx="11">
                        <c:v>0.13310745140388769</c:v>
                      </c:pt>
                    </c:numCache>
                  </c:numRef>
                </c:val>
                <c:extLst xmlns:c15="http://schemas.microsoft.com/office/drawing/2012/chart">
                  <c:ext xmlns:c16="http://schemas.microsoft.com/office/drawing/2014/chart" uri="{C3380CC4-5D6E-409C-BE32-E72D297353CC}">
                    <c16:uniqueId val="{00000005-2777-4AF2-9FB3-98F2C803EE7D}"/>
                  </c:ext>
                </c:extLst>
              </c15:ser>
            </c15:filteredBarSeries>
          </c:ext>
        </c:extLst>
      </c:bar3DChart>
      <c:catAx>
        <c:axId val="1124838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810480"/>
        <c:crosses val="autoZero"/>
        <c:auto val="1"/>
        <c:lblAlgn val="ctr"/>
        <c:lblOffset val="100"/>
        <c:noMultiLvlLbl val="0"/>
      </c:catAx>
      <c:valAx>
        <c:axId val="1124810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8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r>
              <a:rPr lang="en-US"/>
              <a:t>Return</a:t>
            </a:r>
            <a:r>
              <a:rPr lang="en-US" baseline="0"/>
              <a:t> on Invested Captial</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Invested Capital Value</c:v>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cat>
            <c:strRef>
              <c:extLst>
                <c:ext xmlns:c15="http://schemas.microsoft.com/office/drawing/2012/chart" uri="{02D57815-91ED-43cb-92C2-25804820EDAC}">
                  <c15:fullRef>
                    <c15:sqref>'5. SC Resi ROI'!$B$9:$B$33</c15:sqref>
                  </c15:fullRef>
                </c:ext>
              </c:extLst>
              <c:f>('5. SC Resi ROI'!$B$9:$B$10,'5. SC Resi ROI'!$B$12:$B$33)</c:f>
              <c:strCache>
                <c:ptCount val="24"/>
                <c:pt idx="0">
                  <c:v>Year 1</c:v>
                </c:pt>
                <c:pt idx="1">
                  <c:v>Year 2</c:v>
                </c:pt>
                <c:pt idx="2">
                  <c:v>Year 4</c:v>
                </c:pt>
                <c:pt idx="3">
                  <c:v>Year 5</c:v>
                </c:pt>
                <c:pt idx="4">
                  <c:v>Year 6</c:v>
                </c:pt>
                <c:pt idx="5">
                  <c:v>Year 7</c:v>
                </c:pt>
                <c:pt idx="6">
                  <c:v>Year 8</c:v>
                </c:pt>
                <c:pt idx="7">
                  <c:v>Year 9</c:v>
                </c:pt>
                <c:pt idx="8">
                  <c:v>Year 10</c:v>
                </c:pt>
                <c:pt idx="9">
                  <c:v>Year 11</c:v>
                </c:pt>
                <c:pt idx="10">
                  <c:v>Year 12</c:v>
                </c:pt>
                <c:pt idx="11">
                  <c:v>Year 13</c:v>
                </c:pt>
                <c:pt idx="12">
                  <c:v>Year 14</c:v>
                </c:pt>
                <c:pt idx="13">
                  <c:v>Year 15</c:v>
                </c:pt>
                <c:pt idx="14">
                  <c:v>Year 16</c:v>
                </c:pt>
                <c:pt idx="15">
                  <c:v>Year 17</c:v>
                </c:pt>
                <c:pt idx="16">
                  <c:v>Year 18</c:v>
                </c:pt>
                <c:pt idx="17">
                  <c:v>Year 19</c:v>
                </c:pt>
                <c:pt idx="18">
                  <c:v>Year 20</c:v>
                </c:pt>
                <c:pt idx="19">
                  <c:v>Year 21</c:v>
                </c:pt>
                <c:pt idx="20">
                  <c:v>Year 22</c:v>
                </c:pt>
                <c:pt idx="21">
                  <c:v>Year 23</c:v>
                </c:pt>
                <c:pt idx="22">
                  <c:v>Year 24</c:v>
                </c:pt>
                <c:pt idx="23">
                  <c:v>Year 25</c:v>
                </c:pt>
              </c:strCache>
            </c:strRef>
          </c:cat>
          <c:val>
            <c:numRef>
              <c:extLst>
                <c:ext xmlns:c15="http://schemas.microsoft.com/office/drawing/2012/chart" uri="{02D57815-91ED-43cb-92C2-25804820EDAC}">
                  <c15:fullRef>
                    <c15:sqref>'5. SC Resi ROI'!$C$9:$C$33</c15:sqref>
                  </c15:fullRef>
                </c:ext>
              </c:extLst>
              <c:f>('5. SC Resi ROI'!$C$9:$C$10,'5. SC Resi ROI'!$C$12:$C$33)</c:f>
              <c:numCache>
                <c:formatCode>"$"#,##0</c:formatCode>
                <c:ptCount val="24"/>
                <c:pt idx="0">
                  <c:v>-990000.00000000012</c:v>
                </c:pt>
                <c:pt idx="1">
                  <c:v>-899839.00434816128</c:v>
                </c:pt>
                <c:pt idx="2">
                  <c:v>-782438.16511529044</c:v>
                </c:pt>
                <c:pt idx="3">
                  <c:v>-699350.56451606192</c:v>
                </c:pt>
                <c:pt idx="4">
                  <c:v>-634243.86627443694</c:v>
                </c:pt>
                <c:pt idx="5">
                  <c:v>-566364.86661193881</c:v>
                </c:pt>
                <c:pt idx="6">
                  <c:v>-495588.81196462829</c:v>
                </c:pt>
                <c:pt idx="7">
                  <c:v>-421785.33485818881</c:v>
                </c:pt>
                <c:pt idx="8">
                  <c:v>-344818.20128195954</c:v>
                </c:pt>
                <c:pt idx="9">
                  <c:v>-264545.04669479997</c:v>
                </c:pt>
                <c:pt idx="10">
                  <c:v>-184317.10015121821</c:v>
                </c:pt>
                <c:pt idx="11">
                  <c:v>-100478.89601317528</c:v>
                </c:pt>
                <c:pt idx="12">
                  <c:v>-12867.972688920432</c:v>
                </c:pt>
                <c:pt idx="13">
                  <c:v>78685.44218492588</c:v>
                </c:pt>
                <c:pt idx="14">
                  <c:v>174358.76072809525</c:v>
                </c:pt>
                <c:pt idx="15">
                  <c:v>274337.37860570726</c:v>
                </c:pt>
                <c:pt idx="16">
                  <c:v>378815.03428781178</c:v>
                </c:pt>
                <c:pt idx="17">
                  <c:v>487994.18447561102</c:v>
                </c:pt>
                <c:pt idx="18">
                  <c:v>602086.39642186125</c:v>
                </c:pt>
                <c:pt idx="19">
                  <c:v>721312.75790569268</c:v>
                </c:pt>
                <c:pt idx="20">
                  <c:v>845904.30565629655</c:v>
                </c:pt>
                <c:pt idx="21">
                  <c:v>976102.4730556776</c:v>
                </c:pt>
                <c:pt idx="22">
                  <c:v>1112159.5579880308</c:v>
                </c:pt>
                <c:pt idx="23">
                  <c:v>1254339.2117423399</c:v>
                </c:pt>
              </c:numCache>
            </c:numRef>
          </c:val>
          <c:extLst>
            <c:ext xmlns:c16="http://schemas.microsoft.com/office/drawing/2014/chart" uri="{C3380CC4-5D6E-409C-BE32-E72D297353CC}">
              <c16:uniqueId val="{00000000-A8A9-4E3E-B706-3CB032F5B357}"/>
            </c:ext>
          </c:extLst>
        </c:ser>
        <c:dLbls>
          <c:showLegendKey val="0"/>
          <c:showVal val="0"/>
          <c:showCatName val="0"/>
          <c:showSerName val="0"/>
          <c:showPercent val="0"/>
          <c:showBubbleSize val="0"/>
        </c:dLbls>
        <c:gapWidth val="150"/>
        <c:shape val="box"/>
        <c:axId val="129716256"/>
        <c:axId val="129717824"/>
        <c:axId val="0"/>
        <c:extLst>
          <c:ext xmlns:c15="http://schemas.microsoft.com/office/drawing/2012/chart" uri="{02D57815-91ED-43cb-92C2-25804820EDAC}">
            <c15:filteredBarSeries>
              <c15:ser>
                <c:idx val="1"/>
                <c:order val="1"/>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invertIfNegative val="0"/>
                <c:cat>
                  <c:strRef>
                    <c:extLst>
                      <c:ext uri="{02D57815-91ED-43cb-92C2-25804820EDAC}">
                        <c15:fullRef>
                          <c15:sqref>'5. SC Resi ROI'!$B$9:$B$33</c15:sqref>
                        </c15:fullRef>
                        <c15:formulaRef>
                          <c15:sqref>('5. SC Resi ROI'!$B$9:$B$10,'5. SC Resi ROI'!$B$12:$B$33)</c15:sqref>
                        </c15:formulaRef>
                      </c:ext>
                    </c:extLst>
                    <c:strCache>
                      <c:ptCount val="24"/>
                      <c:pt idx="0">
                        <c:v>Year 1</c:v>
                      </c:pt>
                      <c:pt idx="1">
                        <c:v>Year 2</c:v>
                      </c:pt>
                      <c:pt idx="2">
                        <c:v>Year 4</c:v>
                      </c:pt>
                      <c:pt idx="3">
                        <c:v>Year 5</c:v>
                      </c:pt>
                      <c:pt idx="4">
                        <c:v>Year 6</c:v>
                      </c:pt>
                      <c:pt idx="5">
                        <c:v>Year 7</c:v>
                      </c:pt>
                      <c:pt idx="6">
                        <c:v>Year 8</c:v>
                      </c:pt>
                      <c:pt idx="7">
                        <c:v>Year 9</c:v>
                      </c:pt>
                      <c:pt idx="8">
                        <c:v>Year 10</c:v>
                      </c:pt>
                      <c:pt idx="9">
                        <c:v>Year 11</c:v>
                      </c:pt>
                      <c:pt idx="10">
                        <c:v>Year 12</c:v>
                      </c:pt>
                      <c:pt idx="11">
                        <c:v>Year 13</c:v>
                      </c:pt>
                      <c:pt idx="12">
                        <c:v>Year 14</c:v>
                      </c:pt>
                      <c:pt idx="13">
                        <c:v>Year 15</c:v>
                      </c:pt>
                      <c:pt idx="14">
                        <c:v>Year 16</c:v>
                      </c:pt>
                      <c:pt idx="15">
                        <c:v>Year 17</c:v>
                      </c:pt>
                      <c:pt idx="16">
                        <c:v>Year 18</c:v>
                      </c:pt>
                      <c:pt idx="17">
                        <c:v>Year 19</c:v>
                      </c:pt>
                      <c:pt idx="18">
                        <c:v>Year 20</c:v>
                      </c:pt>
                      <c:pt idx="19">
                        <c:v>Year 21</c:v>
                      </c:pt>
                      <c:pt idx="20">
                        <c:v>Year 22</c:v>
                      </c:pt>
                      <c:pt idx="21">
                        <c:v>Year 23</c:v>
                      </c:pt>
                      <c:pt idx="22">
                        <c:v>Year 24</c:v>
                      </c:pt>
                      <c:pt idx="23">
                        <c:v>Year 25</c:v>
                      </c:pt>
                    </c:strCache>
                  </c:strRef>
                </c:cat>
                <c:val>
                  <c:numRef>
                    <c:extLst>
                      <c:ext uri="{02D57815-91ED-43cb-92C2-25804820EDAC}">
                        <c15:fullRef>
                          <c15:sqref>'5. SC Resi ROI'!$D$9:$D$33</c15:sqref>
                        </c15:fullRef>
                        <c15:formulaRef>
                          <c15:sqref>('5. SC Resi ROI'!$D$9:$D$10,'5. SC Resi ROI'!$D$12:$D$33)</c15:sqref>
                        </c15:formulaRef>
                      </c:ext>
                    </c:extLst>
                    <c:numCache>
                      <c:formatCode>"$"#,##0</c:formatCode>
                      <c:ptCount val="24"/>
                      <c:pt idx="0">
                        <c:v>90160.995651838792</c:v>
                      </c:pt>
                      <c:pt idx="1">
                        <c:v>57485.74045617153</c:v>
                      </c:pt>
                      <c:pt idx="2">
                        <c:v>83087.600599228463</c:v>
                      </c:pt>
                      <c:pt idx="3">
                        <c:v>65106.698241624988</c:v>
                      </c:pt>
                      <c:pt idx="4">
                        <c:v>67878.999662498099</c:v>
                      </c:pt>
                      <c:pt idx="5">
                        <c:v>70776.054647310521</c:v>
                      </c:pt>
                      <c:pt idx="6">
                        <c:v>73803.477106439488</c:v>
                      </c:pt>
                      <c:pt idx="7">
                        <c:v>76967.133576229258</c:v>
                      </c:pt>
                      <c:pt idx="8">
                        <c:v>80273.154587159574</c:v>
                      </c:pt>
                      <c:pt idx="9">
                        <c:v>80227.946543581755</c:v>
                      </c:pt>
                      <c:pt idx="10">
                        <c:v>83838.204138042929</c:v>
                      </c:pt>
                      <c:pt idx="11">
                        <c:v>87610.923324254851</c:v>
                      </c:pt>
                      <c:pt idx="12">
                        <c:v>91553.414873846312</c:v>
                      </c:pt>
                      <c:pt idx="13">
                        <c:v>95673.318543169386</c:v>
                      </c:pt>
                      <c:pt idx="14">
                        <c:v>99978.617877612007</c:v>
                      </c:pt>
                      <c:pt idx="15">
                        <c:v>104477.65568210454</c:v>
                      </c:pt>
                      <c:pt idx="16">
                        <c:v>109179.15018779924</c:v>
                      </c:pt>
                      <c:pt idx="17">
                        <c:v>114092.2119462502</c:v>
                      </c:pt>
                      <c:pt idx="18">
                        <c:v>119226.36148383145</c:v>
                      </c:pt>
                      <c:pt idx="19">
                        <c:v>124591.54775060386</c:v>
                      </c:pt>
                      <c:pt idx="20">
                        <c:v>130198.16739938103</c:v>
                      </c:pt>
                      <c:pt idx="21">
                        <c:v>136057.08493235317</c:v>
                      </c:pt>
                      <c:pt idx="22">
                        <c:v>142179.65375430905</c:v>
                      </c:pt>
                      <c:pt idx="23">
                        <c:v>148577.73817325296</c:v>
                      </c:pt>
                    </c:numCache>
                  </c:numRef>
                </c:val>
                <c:extLst>
                  <c:ext xmlns:c16="http://schemas.microsoft.com/office/drawing/2014/chart" uri="{C3380CC4-5D6E-409C-BE32-E72D297353CC}">
                    <c16:uniqueId val="{00000001-A8A9-4E3E-B706-3CB032F5B357}"/>
                  </c:ext>
                </c:extLst>
              </c15:ser>
            </c15:filteredBarSeries>
          </c:ext>
        </c:extLst>
      </c:bar3DChart>
      <c:catAx>
        <c:axId val="12971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29717824"/>
        <c:crosses val="autoZero"/>
        <c:auto val="1"/>
        <c:lblAlgn val="ctr"/>
        <c:lblOffset val="100"/>
        <c:noMultiLvlLbl val="0"/>
      </c:catAx>
      <c:valAx>
        <c:axId val="129717824"/>
        <c:scaling>
          <c:orientation val="minMax"/>
        </c:scaling>
        <c:delete val="0"/>
        <c:axPos val="l"/>
        <c:majorGridlines>
          <c:spPr>
            <a:ln w="9525" cap="flat" cmpd="sng" algn="ctr">
              <a:solidFill>
                <a:schemeClr val="tx1">
                  <a:lumMod val="5000"/>
                  <a:lumOff val="9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12971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RETURN</a:t>
            </a:r>
            <a:r>
              <a:rPr lang="en-US" baseline="0"/>
              <a:t> ON SOLAR INVESTMENT</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'6. SC Commercial ROI'!$D$12</c:f>
              <c:strCache>
                <c:ptCount val="1"/>
                <c:pt idx="0">
                  <c:v>Solar Investement</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'6. SC Commercial ROI'!$C$15:$C$39</c:f>
              <c:strCache>
                <c:ptCount val="25"/>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strCache>
            </c:strRef>
          </c:cat>
          <c:val>
            <c:numRef>
              <c:f>'6. SC Commercial ROI'!$D$15:$D$39</c:f>
              <c:numCache>
                <c:formatCode>"$"#,##0</c:formatCode>
                <c:ptCount val="25"/>
                <c:pt idx="0">
                  <c:v>-990000.00000000012</c:v>
                </c:pt>
                <c:pt idx="1">
                  <c:v>-587349.00434816128</c:v>
                </c:pt>
                <c:pt idx="2">
                  <c:v>-449079.26389198971</c:v>
                </c:pt>
                <c:pt idx="3">
                  <c:v>-340693.76511529047</c:v>
                </c:pt>
                <c:pt idx="4">
                  <c:v>-249157.74689363976</c:v>
                </c:pt>
                <c:pt idx="5">
                  <c:v>-154968.80865201476</c:v>
                </c:pt>
                <c:pt idx="6">
                  <c:v>-72548.688989516653</c:v>
                </c:pt>
                <c:pt idx="7">
                  <c:v>-1772.6343422061327</c:v>
                </c:pt>
                <c:pt idx="8">
                  <c:v>72030.842764233355</c:v>
                </c:pt>
                <c:pt idx="9">
                  <c:v>148997.97634046263</c:v>
                </c:pt>
                <c:pt idx="10">
                  <c:v>229271.1309276222</c:v>
                </c:pt>
                <c:pt idx="11">
                  <c:v>309499.07747120399</c:v>
                </c:pt>
                <c:pt idx="12">
                  <c:v>393337.28160924691</c:v>
                </c:pt>
                <c:pt idx="13">
                  <c:v>480948.20493350178</c:v>
                </c:pt>
                <c:pt idx="14">
                  <c:v>572501.61980734812</c:v>
                </c:pt>
                <c:pt idx="15">
                  <c:v>668174.93835051754</c:v>
                </c:pt>
                <c:pt idx="16">
                  <c:v>768153.55622812954</c:v>
                </c:pt>
                <c:pt idx="17">
                  <c:v>872631.21191023407</c:v>
                </c:pt>
                <c:pt idx="18">
                  <c:v>981810.36209803331</c:v>
                </c:pt>
                <c:pt idx="19">
                  <c:v>1095902.5740442835</c:v>
                </c:pt>
                <c:pt idx="20">
                  <c:v>1215128.9355281149</c:v>
                </c:pt>
                <c:pt idx="21">
                  <c:v>1339720.4832787188</c:v>
                </c:pt>
                <c:pt idx="22">
                  <c:v>1469918.6506780998</c:v>
                </c:pt>
                <c:pt idx="23">
                  <c:v>1605975.7356104529</c:v>
                </c:pt>
                <c:pt idx="24">
                  <c:v>1748155.389364762</c:v>
                </c:pt>
              </c:numCache>
            </c:numRef>
          </c:val>
          <c:extLst>
            <c:ext xmlns:c16="http://schemas.microsoft.com/office/drawing/2014/chart" uri="{C3380CC4-5D6E-409C-BE32-E72D297353CC}">
              <c16:uniqueId val="{00000000-2820-43D5-8DD3-81C0A87DFCF8}"/>
            </c:ext>
          </c:extLst>
        </c:ser>
        <c:dLbls>
          <c:showLegendKey val="0"/>
          <c:showVal val="0"/>
          <c:showCatName val="0"/>
          <c:showSerName val="0"/>
          <c:showPercent val="0"/>
          <c:showBubbleSize val="0"/>
        </c:dLbls>
        <c:gapWidth val="65"/>
        <c:shape val="box"/>
        <c:axId val="129716648"/>
        <c:axId val="316133392"/>
        <c:axId val="0"/>
        <c:extLst>
          <c:ext xmlns:c15="http://schemas.microsoft.com/office/drawing/2012/chart" uri="{02D57815-91ED-43cb-92C2-25804820EDAC}">
            <c15:filteredBarSeries>
              <c15:ser>
                <c:idx val="1"/>
                <c:order val="1"/>
                <c:tx>
                  <c:strRef>
                    <c:extLst>
                      <c:ext uri="{02D57815-91ED-43cb-92C2-25804820EDAC}">
                        <c15:formulaRef>
                          <c15:sqref>'6. SC Commercial ROI'!$E$12:$E$14</c15:sqref>
                        </c15:formulaRef>
                      </c:ext>
                    </c:extLst>
                    <c:strCache>
                      <c:ptCount val="3"/>
                      <c:pt idx="0">
                        <c:v>Tax Credit+</c:v>
                      </c:pt>
                      <c:pt idx="1">
                        <c:v>Cash Tax Equivalence+</c:v>
                      </c:pt>
                      <c:pt idx="2">
                        <c:v>PV Income</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extLst>
                      <c:ext uri="{02D57815-91ED-43cb-92C2-25804820EDAC}">
                        <c15:formulaRef>
                          <c15:sqref>'6. SC Commercial ROI'!$C$15:$C$39</c15:sqref>
                        </c15:formulaRef>
                      </c:ext>
                    </c:extLst>
                    <c:strCache>
                      <c:ptCount val="25"/>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strCache>
                  </c:strRef>
                </c:cat>
                <c:val>
                  <c:numRef>
                    <c:extLst>
                      <c:ext uri="{02D57815-91ED-43cb-92C2-25804820EDAC}">
                        <c15:formulaRef>
                          <c15:sqref>'6. SC Commercial ROI'!$E$15:$E$39</c15:sqref>
                        </c15:formulaRef>
                      </c:ext>
                    </c:extLst>
                    <c:numCache>
                      <c:formatCode>"$"#,##0</c:formatCode>
                      <c:ptCount val="25"/>
                      <c:pt idx="0">
                        <c:v>402650.99565183884</c:v>
                      </c:pt>
                      <c:pt idx="1">
                        <c:v>138269.74045617154</c:v>
                      </c:pt>
                      <c:pt idx="2">
                        <c:v>108385.49877669926</c:v>
                      </c:pt>
                      <c:pt idx="3">
                        <c:v>91536.018221650709</c:v>
                      </c:pt>
                      <c:pt idx="4">
                        <c:v>94188.938241625001</c:v>
                      </c:pt>
                      <c:pt idx="5">
                        <c:v>82420.119662498109</c:v>
                      </c:pt>
                      <c:pt idx="6">
                        <c:v>70776.054647310521</c:v>
                      </c:pt>
                      <c:pt idx="7">
                        <c:v>73803.477106439488</c:v>
                      </c:pt>
                      <c:pt idx="8">
                        <c:v>76967.133576229258</c:v>
                      </c:pt>
                      <c:pt idx="9">
                        <c:v>80273.154587159574</c:v>
                      </c:pt>
                      <c:pt idx="10">
                        <c:v>80227.946543581755</c:v>
                      </c:pt>
                      <c:pt idx="11">
                        <c:v>83838.204138042929</c:v>
                      </c:pt>
                      <c:pt idx="12">
                        <c:v>87610.923324254851</c:v>
                      </c:pt>
                      <c:pt idx="13">
                        <c:v>91553.414873846312</c:v>
                      </c:pt>
                      <c:pt idx="14">
                        <c:v>95673.318543169386</c:v>
                      </c:pt>
                      <c:pt idx="15">
                        <c:v>99978.617877612007</c:v>
                      </c:pt>
                      <c:pt idx="16">
                        <c:v>104477.65568210454</c:v>
                      </c:pt>
                      <c:pt idx="17">
                        <c:v>109179.15018779924</c:v>
                      </c:pt>
                      <c:pt idx="18">
                        <c:v>114092.2119462502</c:v>
                      </c:pt>
                      <c:pt idx="19">
                        <c:v>119226.36148383145</c:v>
                      </c:pt>
                      <c:pt idx="20">
                        <c:v>124591.54775060386</c:v>
                      </c:pt>
                      <c:pt idx="21">
                        <c:v>130198.16739938103</c:v>
                      </c:pt>
                      <c:pt idx="22">
                        <c:v>136057.08493235317</c:v>
                      </c:pt>
                      <c:pt idx="23">
                        <c:v>142179.65375430905</c:v>
                      </c:pt>
                      <c:pt idx="24">
                        <c:v>148577.73817325296</c:v>
                      </c:pt>
                    </c:numCache>
                  </c:numRef>
                </c:val>
                <c:extLst>
                  <c:ext xmlns:c16="http://schemas.microsoft.com/office/drawing/2014/chart" uri="{C3380CC4-5D6E-409C-BE32-E72D297353CC}">
                    <c16:uniqueId val="{00000001-2820-43D5-8DD3-81C0A87DFCF8}"/>
                  </c:ext>
                </c:extLst>
              </c15:ser>
            </c15:filteredBarSeries>
          </c:ext>
        </c:extLst>
      </c:bar3DChart>
      <c:catAx>
        <c:axId val="129716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16133392"/>
        <c:crosses val="autoZero"/>
        <c:auto val="1"/>
        <c:lblAlgn val="ctr"/>
        <c:lblOffset val="100"/>
        <c:noMultiLvlLbl val="0"/>
      </c:catAx>
      <c:valAx>
        <c:axId val="316133392"/>
        <c:scaling>
          <c:orientation val="minMax"/>
        </c:scaling>
        <c:delete val="0"/>
        <c:axPos val="l"/>
        <c:majorGridlines>
          <c:spPr>
            <a:ln w="9525" cap="flat" cmpd="sng" algn="ctr">
              <a:solidFill>
                <a:schemeClr val="dk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2971664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Return on Investment Chart </a:t>
            </a:r>
          </a:p>
        </c:rich>
      </c:tx>
      <c:layout>
        <c:manualLayout>
          <c:xMode val="edge"/>
          <c:yMode val="edge"/>
          <c:x val="0.31471683411756046"/>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Invested Capital</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'7. SC Section 179 ROI'!$C$17:$C$41</c:f>
              <c:strCache>
                <c:ptCount val="25"/>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strCache>
            </c:strRef>
          </c:cat>
          <c:val>
            <c:numRef>
              <c:f>'7. SC Section 179 ROI'!$D$17:$D$41</c:f>
              <c:numCache>
                <c:formatCode>"$"#,##0</c:formatCode>
                <c:ptCount val="25"/>
                <c:pt idx="0">
                  <c:v>-990000.00000000012</c:v>
                </c:pt>
                <c:pt idx="1">
                  <c:v>-385389.00434816128</c:v>
                </c:pt>
                <c:pt idx="2">
                  <c:v>-328678.17882676731</c:v>
                </c:pt>
                <c:pt idx="3">
                  <c:v>-270637.08266733849</c:v>
                </c:pt>
                <c:pt idx="4">
                  <c:v>-211232.45910392396</c:v>
                </c:pt>
                <c:pt idx="5">
                  <c:v>-150430.21995142408</c:v>
                </c:pt>
                <c:pt idx="6">
                  <c:v>-88195.424820111715</c:v>
                </c:pt>
                <c:pt idx="7">
                  <c:v>-24492.259810516545</c:v>
                </c:pt>
                <c:pt idx="8">
                  <c:v>40715.984324318495</c:v>
                </c:pt>
                <c:pt idx="9">
                  <c:v>107466.9345625244</c:v>
                </c:pt>
                <c:pt idx="10">
                  <c:v>175799.15855668543</c:v>
                </c:pt>
                <c:pt idx="11">
                  <c:v>242252.1881507005</c:v>
                </c:pt>
                <c:pt idx="12">
                  <c:v>310366.54348456592</c:v>
                </c:pt>
                <c:pt idx="13">
                  <c:v>380183.75770177797</c:v>
                </c:pt>
                <c:pt idx="14">
                  <c:v>451746.40227442037</c:v>
                </c:pt>
                <c:pt idx="15">
                  <c:v>525098.11296137876</c:v>
                </c:pt>
                <c:pt idx="16">
                  <c:v>600283.61641551112</c:v>
                </c:pt>
                <c:pt idx="17">
                  <c:v>677348.75745599682</c:v>
                </c:pt>
                <c:pt idx="18">
                  <c:v>756340.5270224947</c:v>
                </c:pt>
                <c:pt idx="19">
                  <c:v>837307.09082815493</c:v>
                </c:pt>
                <c:pt idx="20">
                  <c:v>920297.81872895674</c:v>
                </c:pt>
                <c:pt idx="21">
                  <c:v>1005363.3148272785</c:v>
                </c:pt>
                <c:pt idx="22">
                  <c:v>1092555.4483280582</c:v>
                </c:pt>
                <c:pt idx="23">
                  <c:v>1181927.3851663575</c:v>
                </c:pt>
                <c:pt idx="24">
                  <c:v>1273533.6204256143</c:v>
                </c:pt>
              </c:numCache>
            </c:numRef>
          </c:val>
          <c:extLst>
            <c:ext xmlns:c16="http://schemas.microsoft.com/office/drawing/2014/chart" uri="{C3380CC4-5D6E-409C-BE32-E72D297353CC}">
              <c16:uniqueId val="{00000000-DE4F-4BE3-A963-B7E4AAF89B3C}"/>
            </c:ext>
          </c:extLst>
        </c:ser>
        <c:dLbls>
          <c:showLegendKey val="0"/>
          <c:showVal val="0"/>
          <c:showCatName val="0"/>
          <c:showSerName val="0"/>
          <c:showPercent val="0"/>
          <c:showBubbleSize val="0"/>
        </c:dLbls>
        <c:gapWidth val="65"/>
        <c:shape val="box"/>
        <c:axId val="409323016"/>
        <c:axId val="409323408"/>
        <c:axId val="0"/>
        <c:extLst/>
      </c:bar3DChart>
      <c:catAx>
        <c:axId val="409323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09323408"/>
        <c:crosses val="autoZero"/>
        <c:auto val="1"/>
        <c:lblAlgn val="ctr"/>
        <c:lblOffset val="100"/>
        <c:noMultiLvlLbl val="0"/>
      </c:catAx>
      <c:valAx>
        <c:axId val="409323408"/>
        <c:scaling>
          <c:orientation val="minMax"/>
        </c:scaling>
        <c:delete val="0"/>
        <c:axPos val="l"/>
        <c:majorGridlines>
          <c:spPr>
            <a:ln w="9525" cap="flat" cmpd="sng" algn="ctr">
              <a:solidFill>
                <a:schemeClr val="dk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093230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RETURN</a:t>
            </a:r>
            <a:r>
              <a:rPr lang="en-US" baseline="0"/>
              <a:t> ON SOLAR INVESTMENT</a:t>
            </a:r>
            <a:r>
              <a:rPr lang="en-US"/>
              <a:t>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'8. SC Commercial ROI with Grant'!$D$11</c:f>
              <c:strCache>
                <c:ptCount val="1"/>
                <c:pt idx="0">
                  <c:v>Solar Investement</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strRef>
              <c:f>'8. SC Commercial ROI with Grant'!$C$14:$C$38</c:f>
              <c:strCache>
                <c:ptCount val="25"/>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strCache>
            </c:strRef>
          </c:cat>
          <c:val>
            <c:numRef>
              <c:f>'8. SC Commercial ROI with Grant'!$D$14:$D$38</c:f>
              <c:numCache>
                <c:formatCode>"$"#,##0</c:formatCode>
                <c:ptCount val="25"/>
                <c:pt idx="0">
                  <c:v>-990000.00000000012</c:v>
                </c:pt>
                <c:pt idx="1">
                  <c:v>-352471.50434816128</c:v>
                </c:pt>
                <c:pt idx="2">
                  <c:v>-235172.67882676731</c:v>
                </c:pt>
                <c:pt idx="3">
                  <c:v>-140778.7826673385</c:v>
                </c:pt>
                <c:pt idx="4">
                  <c:v>-59562.479103923979</c:v>
                </c:pt>
                <c:pt idx="5">
                  <c:v>23051.440048575896</c:v>
                </c:pt>
                <c:pt idx="6">
                  <c:v>96192.075179888256</c:v>
                </c:pt>
                <c:pt idx="7">
                  <c:v>159895.24018948342</c:v>
                </c:pt>
                <c:pt idx="8">
                  <c:v>225103.48432431847</c:v>
                </c:pt>
                <c:pt idx="9">
                  <c:v>291854.43456252437</c:v>
                </c:pt>
                <c:pt idx="10">
                  <c:v>360186.65855668543</c:v>
                </c:pt>
                <c:pt idx="11">
                  <c:v>426639.68815070053</c:v>
                </c:pt>
                <c:pt idx="12">
                  <c:v>494754.04348456598</c:v>
                </c:pt>
                <c:pt idx="13">
                  <c:v>564571.25770177809</c:v>
                </c:pt>
                <c:pt idx="14">
                  <c:v>636133.90227442048</c:v>
                </c:pt>
                <c:pt idx="15">
                  <c:v>709485.61296137888</c:v>
                </c:pt>
                <c:pt idx="16">
                  <c:v>784671.11641551123</c:v>
                </c:pt>
                <c:pt idx="17">
                  <c:v>861736.25745599694</c:v>
                </c:pt>
                <c:pt idx="18">
                  <c:v>940728.0270224947</c:v>
                </c:pt>
                <c:pt idx="19">
                  <c:v>1021694.5908281549</c:v>
                </c:pt>
                <c:pt idx="20">
                  <c:v>1104685.3187289566</c:v>
                </c:pt>
                <c:pt idx="21">
                  <c:v>1189750.8148272785</c:v>
                </c:pt>
                <c:pt idx="22">
                  <c:v>1276942.9483280582</c:v>
                </c:pt>
                <c:pt idx="23">
                  <c:v>1366314.8851663575</c:v>
                </c:pt>
                <c:pt idx="24">
                  <c:v>1457921.1204256143</c:v>
                </c:pt>
              </c:numCache>
            </c:numRef>
          </c:val>
          <c:extLst>
            <c:ext xmlns:c16="http://schemas.microsoft.com/office/drawing/2014/chart" uri="{C3380CC4-5D6E-409C-BE32-E72D297353CC}">
              <c16:uniqueId val="{00000000-9F7D-4A65-9FE1-1DA5364FBC01}"/>
            </c:ext>
          </c:extLst>
        </c:ser>
        <c:dLbls>
          <c:showLegendKey val="0"/>
          <c:showVal val="0"/>
          <c:showCatName val="0"/>
          <c:showSerName val="0"/>
          <c:showPercent val="0"/>
          <c:showBubbleSize val="0"/>
        </c:dLbls>
        <c:gapWidth val="65"/>
        <c:shape val="box"/>
        <c:axId val="129716648"/>
        <c:axId val="316133392"/>
        <c:axId val="0"/>
        <c:extLst>
          <c:ext xmlns:c15="http://schemas.microsoft.com/office/drawing/2012/chart" uri="{02D57815-91ED-43cb-92C2-25804820EDAC}">
            <c15:filteredBarSeries>
              <c15:ser>
                <c:idx val="1"/>
                <c:order val="1"/>
                <c:tx>
                  <c:strRef>
                    <c:extLst>
                      <c:ext uri="{02D57815-91ED-43cb-92C2-25804820EDAC}">
                        <c15:formulaRef>
                          <c15:sqref>'8. SC Commercial ROI with Grant'!$E$11:$E$13</c15:sqref>
                        </c15:formulaRef>
                      </c:ext>
                    </c:extLst>
                    <c:strCache>
                      <c:ptCount val="3"/>
                      <c:pt idx="0">
                        <c:v>Tax Credit+</c:v>
                      </c:pt>
                      <c:pt idx="1">
                        <c:v>Cash Tax Equivalence+</c:v>
                      </c:pt>
                      <c:pt idx="2">
                        <c:v>PV Income</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strRef>
                    <c:extLst>
                      <c:ext uri="{02D57815-91ED-43cb-92C2-25804820EDAC}">
                        <c15:formulaRef>
                          <c15:sqref>'8. SC Commercial ROI with Grant'!$C$14:$C$38</c15:sqref>
                        </c15:formulaRef>
                      </c:ext>
                    </c:extLst>
                    <c:strCache>
                      <c:ptCount val="25"/>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strCache>
                  </c:strRef>
                </c:cat>
                <c:val>
                  <c:numRef>
                    <c:extLst>
                      <c:ext uri="{02D57815-91ED-43cb-92C2-25804820EDAC}">
                        <c15:formulaRef>
                          <c15:sqref>'8. SC Commercial ROI with Grant'!$E$14:$E$38</c15:sqref>
                        </c15:formulaRef>
                      </c:ext>
                    </c:extLst>
                    <c:numCache>
                      <c:formatCode>"$"#,##0</c:formatCode>
                      <c:ptCount val="25"/>
                      <c:pt idx="0">
                        <c:v>637528.49565183884</c:v>
                      </c:pt>
                      <c:pt idx="1">
                        <c:v>117298.82552139397</c:v>
                      </c:pt>
                      <c:pt idx="2">
                        <c:v>94393.896159428812</c:v>
                      </c:pt>
                      <c:pt idx="3">
                        <c:v>81216.30356341452</c:v>
                      </c:pt>
                      <c:pt idx="4">
                        <c:v>82613.919152499875</c:v>
                      </c:pt>
                      <c:pt idx="5">
                        <c:v>73140.63513131236</c:v>
                      </c:pt>
                      <c:pt idx="6">
                        <c:v>63703.16500959517</c:v>
                      </c:pt>
                      <c:pt idx="7">
                        <c:v>65208.24413483504</c:v>
                      </c:pt>
                      <c:pt idx="8">
                        <c:v>66750.9502382059</c:v>
                      </c:pt>
                      <c:pt idx="9">
                        <c:v>68332.223994161046</c:v>
                      </c:pt>
                      <c:pt idx="10">
                        <c:v>66453.029594015068</c:v>
                      </c:pt>
                      <c:pt idx="11">
                        <c:v>68114.355333865446</c:v>
                      </c:pt>
                      <c:pt idx="12">
                        <c:v>69817.21421721208</c:v>
                      </c:pt>
                      <c:pt idx="13">
                        <c:v>71562.64457264237</c:v>
                      </c:pt>
                      <c:pt idx="14">
                        <c:v>73351.710686958424</c:v>
                      </c:pt>
                      <c:pt idx="15">
                        <c:v>75185.503454132384</c:v>
                      </c:pt>
                      <c:pt idx="16">
                        <c:v>77065.141040485687</c:v>
                      </c:pt>
                      <c:pt idx="17">
                        <c:v>78991.769566497824</c:v>
                      </c:pt>
                      <c:pt idx="18">
                        <c:v>80966.563805660262</c:v>
                      </c:pt>
                      <c:pt idx="19">
                        <c:v>82990.727900801765</c:v>
                      </c:pt>
                      <c:pt idx="20">
                        <c:v>85065.496098321804</c:v>
                      </c:pt>
                      <c:pt idx="21">
                        <c:v>87192.133500779848</c:v>
                      </c:pt>
                      <c:pt idx="22">
                        <c:v>89371.936838299342</c:v>
                      </c:pt>
                      <c:pt idx="23">
                        <c:v>91606.23525925682</c:v>
                      </c:pt>
                      <c:pt idx="24">
                        <c:v>93896.391140738226</c:v>
                      </c:pt>
                    </c:numCache>
                  </c:numRef>
                </c:val>
                <c:extLst>
                  <c:ext xmlns:c16="http://schemas.microsoft.com/office/drawing/2014/chart" uri="{C3380CC4-5D6E-409C-BE32-E72D297353CC}">
                    <c16:uniqueId val="{00000001-9F7D-4A65-9FE1-1DA5364FBC01}"/>
                  </c:ext>
                </c:extLst>
              </c15:ser>
            </c15:filteredBarSeries>
          </c:ext>
        </c:extLst>
      </c:bar3DChart>
      <c:catAx>
        <c:axId val="129716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16133392"/>
        <c:crosses val="autoZero"/>
        <c:auto val="1"/>
        <c:lblAlgn val="ctr"/>
        <c:lblOffset val="100"/>
        <c:noMultiLvlLbl val="0"/>
      </c:catAx>
      <c:valAx>
        <c:axId val="316133392"/>
        <c:scaling>
          <c:orientation val="minMax"/>
        </c:scaling>
        <c:delete val="0"/>
        <c:axPos val="l"/>
        <c:majorGridlines>
          <c:spPr>
            <a:ln w="9525" cap="flat" cmpd="sng" algn="ctr">
              <a:solidFill>
                <a:schemeClr val="dk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2971664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8.tif"/><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8.t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571500</xdr:colOff>
      <xdr:row>28</xdr:row>
      <xdr:rowOff>115660</xdr:rowOff>
    </xdr:from>
    <xdr:to>
      <xdr:col>9</xdr:col>
      <xdr:colOff>761998</xdr:colOff>
      <xdr:row>44</xdr:row>
      <xdr:rowOff>166688</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192202</xdr:colOff>
      <xdr:row>2</xdr:row>
      <xdr:rowOff>39120</xdr:rowOff>
    </xdr:from>
    <xdr:to>
      <xdr:col>12</xdr:col>
      <xdr:colOff>586807</xdr:colOff>
      <xdr:row>3</xdr:row>
      <xdr:rowOff>15308</xdr:rowOff>
    </xdr:to>
    <xdr:sp macro="" textlink="">
      <xdr:nvSpPr>
        <xdr:cNvPr id="2" name="Arrow: Left 1">
          <a:extLst>
            <a:ext uri="{FF2B5EF4-FFF2-40B4-BE49-F238E27FC236}">
              <a16:creationId xmlns:a16="http://schemas.microsoft.com/office/drawing/2014/main" id="{00000000-0008-0000-0000-000002000000}"/>
            </a:ext>
          </a:extLst>
        </xdr:cNvPr>
        <xdr:cNvSpPr/>
      </xdr:nvSpPr>
      <xdr:spPr>
        <a:xfrm>
          <a:off x="9363416" y="991620"/>
          <a:ext cx="1279070" cy="282349"/>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830033</xdr:colOff>
      <xdr:row>7</xdr:row>
      <xdr:rowOff>51027</xdr:rowOff>
    </xdr:from>
    <xdr:to>
      <xdr:col>15</xdr:col>
      <xdr:colOff>130966</xdr:colOff>
      <xdr:row>10</xdr:row>
      <xdr:rowOff>85045</xdr:rowOff>
    </xdr:to>
    <xdr:sp macro="" textlink="">
      <xdr:nvSpPr>
        <xdr:cNvPr id="3" name="Arrow: Bent 2">
          <a:extLst>
            <a:ext uri="{FF2B5EF4-FFF2-40B4-BE49-F238E27FC236}">
              <a16:creationId xmlns:a16="http://schemas.microsoft.com/office/drawing/2014/main" id="{00000000-0008-0000-0000-000003000000}"/>
            </a:ext>
          </a:extLst>
        </xdr:cNvPr>
        <xdr:cNvSpPr/>
      </xdr:nvSpPr>
      <xdr:spPr>
        <a:xfrm flipH="1" flipV="1">
          <a:off x="10001247" y="2051277"/>
          <a:ext cx="3866130" cy="693965"/>
        </a:xfrm>
        <a:prstGeom prst="ben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1635425</xdr:colOff>
      <xdr:row>3</xdr:row>
      <xdr:rowOff>503207</xdr:rowOff>
    </xdr:from>
    <xdr:to>
      <xdr:col>4</xdr:col>
      <xdr:colOff>305519</xdr:colOff>
      <xdr:row>4</xdr:row>
      <xdr:rowOff>485236</xdr:rowOff>
    </xdr:to>
    <xdr:sp macro="" textlink="">
      <xdr:nvSpPr>
        <xdr:cNvPr id="2" name="Arrow: Left 1">
          <a:extLst>
            <a:ext uri="{FF2B5EF4-FFF2-40B4-BE49-F238E27FC236}">
              <a16:creationId xmlns:a16="http://schemas.microsoft.com/office/drawing/2014/main" id="{00000000-0008-0000-0100-000002000000}"/>
            </a:ext>
          </a:extLst>
        </xdr:cNvPr>
        <xdr:cNvSpPr/>
      </xdr:nvSpPr>
      <xdr:spPr>
        <a:xfrm>
          <a:off x="7044906" y="2264433"/>
          <a:ext cx="2911415" cy="521180"/>
        </a:xfrm>
        <a:prstGeom prst="leftArrow">
          <a:avLst/>
        </a:prstGeom>
        <a:solidFill>
          <a:srgbClr val="FF33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1440078</xdr:colOff>
      <xdr:row>5</xdr:row>
      <xdr:rowOff>297729</xdr:rowOff>
    </xdr:from>
    <xdr:to>
      <xdr:col>5</xdr:col>
      <xdr:colOff>194407</xdr:colOff>
      <xdr:row>5</xdr:row>
      <xdr:rowOff>760200</xdr:rowOff>
    </xdr:to>
    <xdr:sp macro="" textlink="">
      <xdr:nvSpPr>
        <xdr:cNvPr id="4" name="Arrow: Left 3">
          <a:extLst>
            <a:ext uri="{FF2B5EF4-FFF2-40B4-BE49-F238E27FC236}">
              <a16:creationId xmlns:a16="http://schemas.microsoft.com/office/drawing/2014/main" id="{00000000-0008-0000-0100-000004000000}"/>
            </a:ext>
          </a:extLst>
        </xdr:cNvPr>
        <xdr:cNvSpPr/>
      </xdr:nvSpPr>
      <xdr:spPr>
        <a:xfrm rot="19830238">
          <a:off x="6849559" y="3119286"/>
          <a:ext cx="3373056" cy="462471"/>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1473679</xdr:colOff>
      <xdr:row>7</xdr:row>
      <xdr:rowOff>377402</xdr:rowOff>
    </xdr:from>
    <xdr:to>
      <xdr:col>3</xdr:col>
      <xdr:colOff>161744</xdr:colOff>
      <xdr:row>8</xdr:row>
      <xdr:rowOff>143773</xdr:rowOff>
    </xdr:to>
    <xdr:sp macro="" textlink="">
      <xdr:nvSpPr>
        <xdr:cNvPr id="7" name="Arrow: Bent 6">
          <a:extLst>
            <a:ext uri="{FF2B5EF4-FFF2-40B4-BE49-F238E27FC236}">
              <a16:creationId xmlns:a16="http://schemas.microsoft.com/office/drawing/2014/main" id="{00000000-0008-0000-0100-000007000000}"/>
            </a:ext>
          </a:extLst>
        </xdr:cNvPr>
        <xdr:cNvSpPr/>
      </xdr:nvSpPr>
      <xdr:spPr>
        <a:xfrm flipH="1" flipV="1">
          <a:off x="6883160" y="6164289"/>
          <a:ext cx="2210518" cy="754814"/>
        </a:xfrm>
        <a:prstGeom prst="ben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1727629</xdr:colOff>
      <xdr:row>10</xdr:row>
      <xdr:rowOff>279759</xdr:rowOff>
    </xdr:from>
    <xdr:to>
      <xdr:col>8</xdr:col>
      <xdr:colOff>454998</xdr:colOff>
      <xdr:row>12</xdr:row>
      <xdr:rowOff>5390</xdr:rowOff>
    </xdr:to>
    <xdr:sp macro="" textlink="">
      <xdr:nvSpPr>
        <xdr:cNvPr id="5" name="Arrow: Left 4">
          <a:extLst>
            <a:ext uri="{FF2B5EF4-FFF2-40B4-BE49-F238E27FC236}">
              <a16:creationId xmlns:a16="http://schemas.microsoft.com/office/drawing/2014/main" id="{C2813A33-F078-4913-80BE-2CD6FEA1EAF4}"/>
            </a:ext>
          </a:extLst>
        </xdr:cNvPr>
        <xdr:cNvSpPr/>
      </xdr:nvSpPr>
      <xdr:spPr>
        <a:xfrm>
          <a:off x="9383572" y="8016576"/>
          <a:ext cx="3705530" cy="462471"/>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21166</xdr:rowOff>
    </xdr:from>
    <xdr:to>
      <xdr:col>5</xdr:col>
      <xdr:colOff>1053041</xdr:colOff>
      <xdr:row>34</xdr:row>
      <xdr:rowOff>153459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68792</xdr:colOff>
      <xdr:row>23</xdr:row>
      <xdr:rowOff>74083</xdr:rowOff>
    </xdr:from>
    <xdr:to>
      <xdr:col>7</xdr:col>
      <xdr:colOff>5292</xdr:colOff>
      <xdr:row>28</xdr:row>
      <xdr:rowOff>57997</xdr:rowOff>
    </xdr:to>
    <xdr:pic>
      <xdr:nvPicPr>
        <xdr:cNvPr id="5" name="Picture 4">
          <a:extLst>
            <a:ext uri="{FF2B5EF4-FFF2-40B4-BE49-F238E27FC236}">
              <a16:creationId xmlns:a16="http://schemas.microsoft.com/office/drawing/2014/main" id="{64127452-4AEB-431A-8DFB-4822DE1EA1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1592" y="5951008"/>
          <a:ext cx="1231900" cy="798302"/>
        </a:xfrm>
        <a:prstGeom prst="rect">
          <a:avLst/>
        </a:prstGeom>
      </xdr:spPr>
    </xdr:pic>
    <xdr:clientData/>
  </xdr:twoCellAnchor>
  <xdr:twoCellAnchor editAs="oneCell">
    <xdr:from>
      <xdr:col>6</xdr:col>
      <xdr:colOff>158750</xdr:colOff>
      <xdr:row>29</xdr:row>
      <xdr:rowOff>15878</xdr:rowOff>
    </xdr:from>
    <xdr:to>
      <xdr:col>6</xdr:col>
      <xdr:colOff>1217084</xdr:colOff>
      <xdr:row>34</xdr:row>
      <xdr:rowOff>88590</xdr:rowOff>
    </xdr:to>
    <xdr:pic>
      <xdr:nvPicPr>
        <xdr:cNvPr id="6" name="Picture 5">
          <a:extLst>
            <a:ext uri="{FF2B5EF4-FFF2-40B4-BE49-F238E27FC236}">
              <a16:creationId xmlns:a16="http://schemas.microsoft.com/office/drawing/2014/main" id="{717F0A89-C09B-4161-BED9-5FDABB1863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14167" y="7434795"/>
          <a:ext cx="1058334" cy="9828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1113175</xdr:colOff>
      <xdr:row>33</xdr:row>
      <xdr:rowOff>15875</xdr:rowOff>
    </xdr:from>
    <xdr:to>
      <xdr:col>5</xdr:col>
      <xdr:colOff>475288</xdr:colOff>
      <xdr:row>50</xdr:row>
      <xdr:rowOff>3464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103565</xdr:colOff>
      <xdr:row>20</xdr:row>
      <xdr:rowOff>35719</xdr:rowOff>
    </xdr:from>
    <xdr:to>
      <xdr:col>10</xdr:col>
      <xdr:colOff>250032</xdr:colOff>
      <xdr:row>38</xdr:row>
      <xdr:rowOff>54429</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404812</xdr:colOff>
      <xdr:row>1</xdr:row>
      <xdr:rowOff>226218</xdr:rowOff>
    </xdr:from>
    <xdr:to>
      <xdr:col>6</xdr:col>
      <xdr:colOff>92778</xdr:colOff>
      <xdr:row>4</xdr:row>
      <xdr:rowOff>110016</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095375" y="226218"/>
          <a:ext cx="4450466"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142874</xdr:colOff>
      <xdr:row>25</xdr:row>
      <xdr:rowOff>95250</xdr:rowOff>
    </xdr:from>
    <xdr:to>
      <xdr:col>10</xdr:col>
      <xdr:colOff>222249</xdr:colOff>
      <xdr:row>40</xdr:row>
      <xdr:rowOff>150811</xdr:rowOff>
    </xdr:to>
    <xdr:graphicFrame macro="">
      <xdr:nvGraphicFramePr>
        <xdr:cNvPr id="2" name="Chart 1">
          <a:extLst>
            <a:ext uri="{FF2B5EF4-FFF2-40B4-BE49-F238E27FC236}">
              <a16:creationId xmlns:a16="http://schemas.microsoft.com/office/drawing/2014/main" id="{AB28765A-E725-4B8B-A791-0385F152A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135770</xdr:colOff>
      <xdr:row>6</xdr:row>
      <xdr:rowOff>61232</xdr:rowOff>
    </xdr:from>
    <xdr:to>
      <xdr:col>5</xdr:col>
      <xdr:colOff>374196</xdr:colOff>
      <xdr:row>8</xdr:row>
      <xdr:rowOff>153609</xdr:rowOff>
    </xdr:to>
    <xdr:sp macro="" textlink="">
      <xdr:nvSpPr>
        <xdr:cNvPr id="3" name="Speech Bubble: Rectangle with Corners Rounded 2">
          <a:extLst>
            <a:ext uri="{FF2B5EF4-FFF2-40B4-BE49-F238E27FC236}">
              <a16:creationId xmlns:a16="http://schemas.microsoft.com/office/drawing/2014/main" id="{14569E19-880D-4DCA-AC7E-3C3DAE93A3DE}"/>
            </a:ext>
          </a:extLst>
        </xdr:cNvPr>
        <xdr:cNvSpPr/>
      </xdr:nvSpPr>
      <xdr:spPr>
        <a:xfrm>
          <a:off x="6512758" y="2137682"/>
          <a:ext cx="238426" cy="359077"/>
        </a:xfrm>
        <a:prstGeom prst="wedgeRoundRectCallout">
          <a:avLst>
            <a:gd name="adj1" fmla="val -249857"/>
            <a:gd name="adj2" fmla="val 311157"/>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2</a:t>
          </a:r>
        </a:p>
      </xdr:txBody>
    </xdr:sp>
    <xdr:clientData/>
  </xdr:twoCellAnchor>
  <xdr:twoCellAnchor>
    <xdr:from>
      <xdr:col>11</xdr:col>
      <xdr:colOff>557893</xdr:colOff>
      <xdr:row>8</xdr:row>
      <xdr:rowOff>34017</xdr:rowOff>
    </xdr:from>
    <xdr:to>
      <xdr:col>11</xdr:col>
      <xdr:colOff>846667</xdr:colOff>
      <xdr:row>10</xdr:row>
      <xdr:rowOff>26458</xdr:rowOff>
    </xdr:to>
    <xdr:sp macro="" textlink="">
      <xdr:nvSpPr>
        <xdr:cNvPr id="4" name="Speech Bubble: Rectangle with Corners Rounded 3">
          <a:extLst>
            <a:ext uri="{FF2B5EF4-FFF2-40B4-BE49-F238E27FC236}">
              <a16:creationId xmlns:a16="http://schemas.microsoft.com/office/drawing/2014/main" id="{161A6F8D-9ECD-43C4-AFFC-E2FB42FE7DAD}"/>
            </a:ext>
          </a:extLst>
        </xdr:cNvPr>
        <xdr:cNvSpPr/>
      </xdr:nvSpPr>
      <xdr:spPr>
        <a:xfrm>
          <a:off x="15174006" y="2377167"/>
          <a:ext cx="288774" cy="373441"/>
        </a:xfrm>
        <a:prstGeom prst="wedgeRoundRectCallout">
          <a:avLst>
            <a:gd name="adj1" fmla="val -12325"/>
            <a:gd name="adj2" fmla="val 230837"/>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6</a:t>
          </a:r>
        </a:p>
      </xdr:txBody>
    </xdr:sp>
    <xdr:clientData/>
  </xdr:twoCellAnchor>
  <xdr:twoCellAnchor>
    <xdr:from>
      <xdr:col>4</xdr:col>
      <xdr:colOff>1802946</xdr:colOff>
      <xdr:row>4</xdr:row>
      <xdr:rowOff>95250</xdr:rowOff>
    </xdr:from>
    <xdr:to>
      <xdr:col>4</xdr:col>
      <xdr:colOff>2161419</xdr:colOff>
      <xdr:row>5</xdr:row>
      <xdr:rowOff>160110</xdr:rowOff>
    </xdr:to>
    <xdr:sp macro="" textlink="">
      <xdr:nvSpPr>
        <xdr:cNvPr id="5" name="Speech Bubble: Rectangle with Corners Rounded 4">
          <a:extLst>
            <a:ext uri="{FF2B5EF4-FFF2-40B4-BE49-F238E27FC236}">
              <a16:creationId xmlns:a16="http://schemas.microsoft.com/office/drawing/2014/main" id="{850D246C-1B3B-4760-9921-3BC16B30F0BB}"/>
            </a:ext>
          </a:extLst>
        </xdr:cNvPr>
        <xdr:cNvSpPr/>
      </xdr:nvSpPr>
      <xdr:spPr>
        <a:xfrm>
          <a:off x="5951084" y="1719263"/>
          <a:ext cx="358473" cy="326797"/>
        </a:xfrm>
        <a:prstGeom prst="wedgeRoundRectCallout">
          <a:avLst>
            <a:gd name="adj1" fmla="val -324797"/>
            <a:gd name="adj2" fmla="val 232308"/>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1</a:t>
          </a:r>
        </a:p>
      </xdr:txBody>
    </xdr:sp>
    <xdr:clientData/>
  </xdr:twoCellAnchor>
  <xdr:twoCellAnchor>
    <xdr:from>
      <xdr:col>11</xdr:col>
      <xdr:colOff>938893</xdr:colOff>
      <xdr:row>1</xdr:row>
      <xdr:rowOff>415017</xdr:rowOff>
    </xdr:from>
    <xdr:to>
      <xdr:col>11</xdr:col>
      <xdr:colOff>1130149</xdr:colOff>
      <xdr:row>1</xdr:row>
      <xdr:rowOff>746731</xdr:rowOff>
    </xdr:to>
    <xdr:sp macro="" textlink="">
      <xdr:nvSpPr>
        <xdr:cNvPr id="6" name="Speech Bubble: Rectangle with Corners Rounded 5">
          <a:extLst>
            <a:ext uri="{FF2B5EF4-FFF2-40B4-BE49-F238E27FC236}">
              <a16:creationId xmlns:a16="http://schemas.microsoft.com/office/drawing/2014/main" id="{BE48F200-073B-4C30-ABC3-F75592A4D753}"/>
            </a:ext>
          </a:extLst>
        </xdr:cNvPr>
        <xdr:cNvSpPr/>
      </xdr:nvSpPr>
      <xdr:spPr>
        <a:xfrm>
          <a:off x="15555006" y="415017"/>
          <a:ext cx="191256" cy="331714"/>
        </a:xfrm>
        <a:prstGeom prst="wedgeRoundRectCallout">
          <a:avLst>
            <a:gd name="adj1" fmla="val -224586"/>
            <a:gd name="adj2" fmla="val 233767"/>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5</a:t>
          </a:r>
        </a:p>
      </xdr:txBody>
    </xdr:sp>
    <xdr:clientData/>
  </xdr:twoCellAnchor>
  <xdr:twoCellAnchor>
    <xdr:from>
      <xdr:col>5</xdr:col>
      <xdr:colOff>1156607</xdr:colOff>
      <xdr:row>8</xdr:row>
      <xdr:rowOff>61231</xdr:rowOff>
    </xdr:from>
    <xdr:to>
      <xdr:col>5</xdr:col>
      <xdr:colOff>1419224</xdr:colOff>
      <xdr:row>10</xdr:row>
      <xdr:rowOff>20411</xdr:rowOff>
    </xdr:to>
    <xdr:sp macro="" textlink="">
      <xdr:nvSpPr>
        <xdr:cNvPr id="7" name="Speech Bubble: Rectangle with Corners Rounded 6">
          <a:extLst>
            <a:ext uri="{FF2B5EF4-FFF2-40B4-BE49-F238E27FC236}">
              <a16:creationId xmlns:a16="http://schemas.microsoft.com/office/drawing/2014/main" id="{B832882D-F018-4411-BCBE-9863B11B3C8C}"/>
            </a:ext>
          </a:extLst>
        </xdr:cNvPr>
        <xdr:cNvSpPr/>
      </xdr:nvSpPr>
      <xdr:spPr>
        <a:xfrm>
          <a:off x="7533595" y="2404381"/>
          <a:ext cx="262617" cy="340180"/>
        </a:xfrm>
        <a:prstGeom prst="wedgeRoundRectCallout">
          <a:avLst>
            <a:gd name="adj1" fmla="val 293846"/>
            <a:gd name="adj2" fmla="val -31500"/>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3</a:t>
          </a:r>
        </a:p>
      </xdr:txBody>
    </xdr:sp>
    <xdr:clientData/>
  </xdr:twoCellAnchor>
  <xdr:twoCellAnchor>
    <xdr:from>
      <xdr:col>9</xdr:col>
      <xdr:colOff>115659</xdr:colOff>
      <xdr:row>18</xdr:row>
      <xdr:rowOff>142875</xdr:rowOff>
    </xdr:from>
    <xdr:to>
      <xdr:col>9</xdr:col>
      <xdr:colOff>336096</xdr:colOff>
      <xdr:row>20</xdr:row>
      <xdr:rowOff>68037</xdr:rowOff>
    </xdr:to>
    <xdr:sp macro="" textlink="">
      <xdr:nvSpPr>
        <xdr:cNvPr id="8" name="Speech Bubble: Rectangle with Corners Rounded 7">
          <a:extLst>
            <a:ext uri="{FF2B5EF4-FFF2-40B4-BE49-F238E27FC236}">
              <a16:creationId xmlns:a16="http://schemas.microsoft.com/office/drawing/2014/main" id="{F7853118-6301-40E0-BB44-9A2B7165C16B}"/>
            </a:ext>
          </a:extLst>
        </xdr:cNvPr>
        <xdr:cNvSpPr/>
      </xdr:nvSpPr>
      <xdr:spPr>
        <a:xfrm>
          <a:off x="13422084" y="4305300"/>
          <a:ext cx="220437" cy="306162"/>
        </a:xfrm>
        <a:prstGeom prst="wedgeRoundRectCallout">
          <a:avLst>
            <a:gd name="adj1" fmla="val 13297"/>
            <a:gd name="adj2" fmla="val -202222"/>
            <a:gd name="adj3" fmla="val 16667"/>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a:solidFill>
                <a:sysClr val="windowText" lastClr="000000"/>
              </a:solidFill>
            </a:rPr>
            <a:t>4</a:t>
          </a:r>
        </a:p>
      </xdr:txBody>
    </xdr:sp>
    <xdr:clientData/>
  </xdr:twoCellAnchor>
  <xdr:twoCellAnchor>
    <xdr:from>
      <xdr:col>4</xdr:col>
      <xdr:colOff>655866</xdr:colOff>
      <xdr:row>16</xdr:row>
      <xdr:rowOff>2722</xdr:rowOff>
    </xdr:from>
    <xdr:to>
      <xdr:col>4</xdr:col>
      <xdr:colOff>1475016</xdr:colOff>
      <xdr:row>16</xdr:row>
      <xdr:rowOff>174172</xdr:rowOff>
    </xdr:to>
    <xdr:sp macro="" textlink="">
      <xdr:nvSpPr>
        <xdr:cNvPr id="9" name="Rectangle: Rounded Corners 8">
          <a:extLst>
            <a:ext uri="{FF2B5EF4-FFF2-40B4-BE49-F238E27FC236}">
              <a16:creationId xmlns:a16="http://schemas.microsoft.com/office/drawing/2014/main" id="{755370B4-46C8-49D4-BD90-2556953C37A7}"/>
            </a:ext>
          </a:extLst>
        </xdr:cNvPr>
        <xdr:cNvSpPr/>
      </xdr:nvSpPr>
      <xdr:spPr>
        <a:xfrm>
          <a:off x="4804004" y="3784147"/>
          <a:ext cx="819150" cy="1714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10</xdr:col>
      <xdr:colOff>185964</xdr:colOff>
      <xdr:row>14</xdr:row>
      <xdr:rowOff>35909</xdr:rowOff>
    </xdr:from>
    <xdr:to>
      <xdr:col>12</xdr:col>
      <xdr:colOff>15875</xdr:colOff>
      <xdr:row>16</xdr:row>
      <xdr:rowOff>15876</xdr:rowOff>
    </xdr:to>
    <xdr:sp macro="" textlink="">
      <xdr:nvSpPr>
        <xdr:cNvPr id="10" name="Rectangle: Rounded Corners 9">
          <a:extLst>
            <a:ext uri="{FF2B5EF4-FFF2-40B4-BE49-F238E27FC236}">
              <a16:creationId xmlns:a16="http://schemas.microsoft.com/office/drawing/2014/main" id="{6AE35884-BBAA-4C6B-8BA1-C002FB14680C}"/>
            </a:ext>
          </a:extLst>
        </xdr:cNvPr>
        <xdr:cNvSpPr/>
      </xdr:nvSpPr>
      <xdr:spPr>
        <a:xfrm>
          <a:off x="14544902" y="3758597"/>
          <a:ext cx="1385661" cy="2974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900"/>
        </a:p>
      </xdr:txBody>
    </xdr:sp>
    <xdr:clientData/>
  </xdr:twoCellAnchor>
  <xdr:twoCellAnchor>
    <xdr:from>
      <xdr:col>10</xdr:col>
      <xdr:colOff>129268</xdr:colOff>
      <xdr:row>3</xdr:row>
      <xdr:rowOff>337459</xdr:rowOff>
    </xdr:from>
    <xdr:to>
      <xdr:col>11</xdr:col>
      <xdr:colOff>911678</xdr:colOff>
      <xdr:row>5</xdr:row>
      <xdr:rowOff>68035</xdr:rowOff>
    </xdr:to>
    <xdr:sp macro="" textlink="">
      <xdr:nvSpPr>
        <xdr:cNvPr id="11" name="Rectangle: Rounded Corners 10">
          <a:extLst>
            <a:ext uri="{FF2B5EF4-FFF2-40B4-BE49-F238E27FC236}">
              <a16:creationId xmlns:a16="http://schemas.microsoft.com/office/drawing/2014/main" id="{01F535CE-C18B-4F1C-83A0-6214E42BC85C}"/>
            </a:ext>
          </a:extLst>
        </xdr:cNvPr>
        <xdr:cNvSpPr/>
      </xdr:nvSpPr>
      <xdr:spPr>
        <a:xfrm>
          <a:off x="14507256" y="1604284"/>
          <a:ext cx="1020535" cy="34970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57150</xdr:colOff>
      <xdr:row>15</xdr:row>
      <xdr:rowOff>8466</xdr:rowOff>
    </xdr:from>
    <xdr:to>
      <xdr:col>9</xdr:col>
      <xdr:colOff>1019175</xdr:colOff>
      <xdr:row>15</xdr:row>
      <xdr:rowOff>162982</xdr:rowOff>
    </xdr:to>
    <xdr:sp macro="" textlink="">
      <xdr:nvSpPr>
        <xdr:cNvPr id="12" name="Rectangle: Rounded Corners 11">
          <a:extLst>
            <a:ext uri="{FF2B5EF4-FFF2-40B4-BE49-F238E27FC236}">
              <a16:creationId xmlns:a16="http://schemas.microsoft.com/office/drawing/2014/main" id="{33AB4104-13E3-4D41-960A-92BDAA6F33AD}"/>
            </a:ext>
          </a:extLst>
        </xdr:cNvPr>
        <xdr:cNvSpPr/>
      </xdr:nvSpPr>
      <xdr:spPr>
        <a:xfrm>
          <a:off x="13363575" y="3627966"/>
          <a:ext cx="962025" cy="15451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66675</xdr:colOff>
      <xdr:row>15</xdr:row>
      <xdr:rowOff>9525</xdr:rowOff>
    </xdr:from>
    <xdr:to>
      <xdr:col>8</xdr:col>
      <xdr:colOff>2400300</xdr:colOff>
      <xdr:row>16</xdr:row>
      <xdr:rowOff>0</xdr:rowOff>
    </xdr:to>
    <xdr:sp macro="" textlink="">
      <xdr:nvSpPr>
        <xdr:cNvPr id="13" name="Rectangle: Rounded Corners 12">
          <a:extLst>
            <a:ext uri="{FF2B5EF4-FFF2-40B4-BE49-F238E27FC236}">
              <a16:creationId xmlns:a16="http://schemas.microsoft.com/office/drawing/2014/main" id="{91330FA5-A007-4065-959D-AB870BE0719F}"/>
            </a:ext>
          </a:extLst>
        </xdr:cNvPr>
        <xdr:cNvSpPr/>
      </xdr:nvSpPr>
      <xdr:spPr>
        <a:xfrm>
          <a:off x="10891838" y="3629025"/>
          <a:ext cx="2333625" cy="152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73026</xdr:colOff>
      <xdr:row>15</xdr:row>
      <xdr:rowOff>3174</xdr:rowOff>
    </xdr:from>
    <xdr:to>
      <xdr:col>8</xdr:col>
      <xdr:colOff>4235</xdr:colOff>
      <xdr:row>15</xdr:row>
      <xdr:rowOff>157690</xdr:rowOff>
    </xdr:to>
    <xdr:sp macro="" textlink="">
      <xdr:nvSpPr>
        <xdr:cNvPr id="14" name="Rectangle: Rounded Corners 13">
          <a:extLst>
            <a:ext uri="{FF2B5EF4-FFF2-40B4-BE49-F238E27FC236}">
              <a16:creationId xmlns:a16="http://schemas.microsoft.com/office/drawing/2014/main" id="{164BCDB8-7FB3-4772-94E8-94F7E7D21535}"/>
            </a:ext>
          </a:extLst>
        </xdr:cNvPr>
        <xdr:cNvSpPr/>
      </xdr:nvSpPr>
      <xdr:spPr>
        <a:xfrm>
          <a:off x="10398126" y="3622674"/>
          <a:ext cx="431272" cy="15451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2072218</xdr:colOff>
      <xdr:row>14</xdr:row>
      <xdr:rowOff>156634</xdr:rowOff>
    </xdr:from>
    <xdr:to>
      <xdr:col>7</xdr:col>
      <xdr:colOff>24343</xdr:colOff>
      <xdr:row>15</xdr:row>
      <xdr:rowOff>156633</xdr:rowOff>
    </xdr:to>
    <xdr:sp macro="" textlink="">
      <xdr:nvSpPr>
        <xdr:cNvPr id="15" name="Rectangle: Rounded Corners 14">
          <a:extLst>
            <a:ext uri="{FF2B5EF4-FFF2-40B4-BE49-F238E27FC236}">
              <a16:creationId xmlns:a16="http://schemas.microsoft.com/office/drawing/2014/main" id="{303CADC8-D4F2-493F-A28F-867763C00CAF}"/>
            </a:ext>
          </a:extLst>
        </xdr:cNvPr>
        <xdr:cNvSpPr/>
      </xdr:nvSpPr>
      <xdr:spPr>
        <a:xfrm>
          <a:off x="8449206" y="3614209"/>
          <a:ext cx="1900237" cy="16192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4</xdr:col>
      <xdr:colOff>1601029</xdr:colOff>
      <xdr:row>16</xdr:row>
      <xdr:rowOff>46642</xdr:rowOff>
    </xdr:from>
    <xdr:to>
      <xdr:col>5</xdr:col>
      <xdr:colOff>625928</xdr:colOff>
      <xdr:row>16</xdr:row>
      <xdr:rowOff>122463</xdr:rowOff>
    </xdr:to>
    <xdr:sp macro="" textlink="">
      <xdr:nvSpPr>
        <xdr:cNvPr id="16" name="Arrow: Left 15">
          <a:extLst>
            <a:ext uri="{FF2B5EF4-FFF2-40B4-BE49-F238E27FC236}">
              <a16:creationId xmlns:a16="http://schemas.microsoft.com/office/drawing/2014/main" id="{2A8E0F03-3E93-4C4E-BDF7-3E94F000F2FB}"/>
            </a:ext>
          </a:extLst>
        </xdr:cNvPr>
        <xdr:cNvSpPr/>
      </xdr:nvSpPr>
      <xdr:spPr>
        <a:xfrm>
          <a:off x="5749167" y="3828067"/>
          <a:ext cx="1253749" cy="75821"/>
        </a:xfrm>
        <a:prstGeom prst="leftArrow">
          <a:avLst/>
        </a:prstGeom>
        <a:solidFill>
          <a:srgbClr val="00B05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31750</xdr:colOff>
      <xdr:row>1</xdr:row>
      <xdr:rowOff>114527</xdr:rowOff>
    </xdr:from>
    <xdr:to>
      <xdr:col>5</xdr:col>
      <xdr:colOff>47625</xdr:colOff>
      <xdr:row>2</xdr:row>
      <xdr:rowOff>206985</xdr:rowOff>
    </xdr:to>
    <xdr:pic>
      <xdr:nvPicPr>
        <xdr:cNvPr id="17" name="Picture 16">
          <a:extLst>
            <a:ext uri="{FF2B5EF4-FFF2-40B4-BE49-F238E27FC236}">
              <a16:creationId xmlns:a16="http://schemas.microsoft.com/office/drawing/2014/main" id="{D8F1E123-2016-4DFD-859C-4A0389BE7E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850" y="114527"/>
          <a:ext cx="5211763" cy="1116396"/>
        </a:xfrm>
        <a:prstGeom prst="rect">
          <a:avLst/>
        </a:prstGeom>
      </xdr:spPr>
    </xdr:pic>
    <xdr:clientData/>
  </xdr:twoCellAnchor>
  <xdr:twoCellAnchor editAs="oneCell">
    <xdr:from>
      <xdr:col>13</xdr:col>
      <xdr:colOff>205241</xdr:colOff>
      <xdr:row>38</xdr:row>
      <xdr:rowOff>156481</xdr:rowOff>
    </xdr:from>
    <xdr:to>
      <xdr:col>19</xdr:col>
      <xdr:colOff>840950</xdr:colOff>
      <xdr:row>43</xdr:row>
      <xdr:rowOff>959301</xdr:rowOff>
    </xdr:to>
    <xdr:pic>
      <xdr:nvPicPr>
        <xdr:cNvPr id="18" name="Picture 17">
          <a:extLst>
            <a:ext uri="{FF2B5EF4-FFF2-40B4-BE49-F238E27FC236}">
              <a16:creationId xmlns:a16="http://schemas.microsoft.com/office/drawing/2014/main" id="{147889B5-D524-415D-9C1D-66BA0973A6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54879" y="8090806"/>
          <a:ext cx="7174622" cy="18077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55940</xdr:colOff>
      <xdr:row>19</xdr:row>
      <xdr:rowOff>1</xdr:rowOff>
    </xdr:from>
    <xdr:to>
      <xdr:col>10</xdr:col>
      <xdr:colOff>380999</xdr:colOff>
      <xdr:row>38</xdr:row>
      <xdr:rowOff>30616</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130969</xdr:rowOff>
    </xdr:from>
    <xdr:to>
      <xdr:col>5</xdr:col>
      <xdr:colOff>547687</xdr:colOff>
      <xdr:row>3</xdr:row>
      <xdr:rowOff>11325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 y="130969"/>
          <a:ext cx="4452937" cy="11305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207508</xdr:colOff>
      <xdr:row>1</xdr:row>
      <xdr:rowOff>271895</xdr:rowOff>
    </xdr:from>
    <xdr:to>
      <xdr:col>8</xdr:col>
      <xdr:colOff>1176613</xdr:colOff>
      <xdr:row>4</xdr:row>
      <xdr:rowOff>118210</xdr:rowOff>
    </xdr:to>
    <xdr:pic>
      <xdr:nvPicPr>
        <xdr:cNvPr id="2" name="Picture 1">
          <a:extLst>
            <a:ext uri="{FF2B5EF4-FFF2-40B4-BE49-F238E27FC236}">
              <a16:creationId xmlns:a16="http://schemas.microsoft.com/office/drawing/2014/main" id="{3D08C715-BC58-4887-858E-F10327C1A5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22396" y="1991158"/>
          <a:ext cx="4293330" cy="1036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GA%20Siz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NNUAL USAGE "/>
      <sheetName val="2. System Sizing"/>
      <sheetName val="3. Pre-Post Solar Costs"/>
      <sheetName val="4. GA Quote"/>
      <sheetName val="5.Resi Solar Savings"/>
      <sheetName val="6.Comm Solar Savings"/>
      <sheetName val="7. Solar Savings w Gran"/>
      <sheetName val="7. GA Resi ROI"/>
      <sheetName val="8. GA Comm ROI "/>
      <sheetName val="9. 179 ROI "/>
      <sheetName val="10. GA Comm ROI with Grant"/>
      <sheetName val="11. 179 ROI  with Grant"/>
      <sheetName val="12.15 YEAR COMMERICAL"/>
    </sheetNames>
    <sheetDataSet>
      <sheetData sheetId="0"/>
      <sheetData sheetId="1"/>
      <sheetData sheetId="2">
        <row r="2">
          <cell r="C2" t="str">
            <v>Current Consumption Loads Monthly</v>
          </cell>
          <cell r="D2" t="str">
            <v>Current Utility Cost Monthly</v>
          </cell>
          <cell r="E2" t="str">
            <v>Monthly kWh PV Production per NREL</v>
          </cell>
          <cell r="F2" t="str">
            <v>Solar Value if Self Consumed</v>
          </cell>
          <cell r="G2" t="str">
            <v>Anticipated Post Solar Costs If Self Comsumed</v>
          </cell>
          <cell r="H2" t="str">
            <v>Cost per kWh month by month</v>
          </cell>
        </row>
        <row r="3">
          <cell r="B3" t="str">
            <v>January</v>
          </cell>
          <cell r="C3">
            <v>67420</v>
          </cell>
          <cell r="D3">
            <v>6508.42</v>
          </cell>
          <cell r="E3">
            <v>28342</v>
          </cell>
          <cell r="F3">
            <v>2452.5877075051912</v>
          </cell>
          <cell r="G3">
            <v>4055.8322924948088</v>
          </cell>
          <cell r="H3">
            <v>9.6535449421536634E-2</v>
          </cell>
        </row>
        <row r="4">
          <cell r="B4" t="str">
            <v>February</v>
          </cell>
          <cell r="C4">
            <v>67800</v>
          </cell>
          <cell r="D4">
            <v>6405.33</v>
          </cell>
          <cell r="E4">
            <v>27734</v>
          </cell>
          <cell r="F4">
            <v>2342.7989707964603</v>
          </cell>
          <cell r="G4">
            <v>4062.5310292035397</v>
          </cell>
          <cell r="H4">
            <v>9.4473893805309739E-2</v>
          </cell>
        </row>
        <row r="5">
          <cell r="B5" t="str">
            <v>March</v>
          </cell>
          <cell r="C5">
            <v>62600</v>
          </cell>
          <cell r="D5">
            <v>5984.01</v>
          </cell>
          <cell r="E5">
            <v>35161.63671875</v>
          </cell>
          <cell r="F5">
            <v>3009.5271750068646</v>
          </cell>
          <cell r="G5">
            <v>2974.4828249931356</v>
          </cell>
          <cell r="H5">
            <v>9.5591214057507992E-2</v>
          </cell>
        </row>
        <row r="6">
          <cell r="B6" t="str">
            <v>April</v>
          </cell>
          <cell r="C6">
            <v>65000</v>
          </cell>
          <cell r="D6">
            <v>6275.65</v>
          </cell>
          <cell r="E6">
            <v>38474.60546875</v>
          </cell>
          <cell r="F6">
            <v>3329.917911619591</v>
          </cell>
          <cell r="G6">
            <v>2945.7320883804086</v>
          </cell>
          <cell r="H6">
            <v>9.6548461538461527E-2</v>
          </cell>
        </row>
        <row r="7">
          <cell r="B7" t="str">
            <v>May</v>
          </cell>
          <cell r="C7">
            <v>78600</v>
          </cell>
          <cell r="D7">
            <v>7382.66</v>
          </cell>
          <cell r="E7">
            <v>39026.1953125</v>
          </cell>
          <cell r="F7">
            <v>3275.3504016559323</v>
          </cell>
          <cell r="G7">
            <v>4107.3095983440671</v>
          </cell>
          <cell r="H7">
            <v>9.392697201017812E-2</v>
          </cell>
        </row>
        <row r="8">
          <cell r="B8" t="str">
            <v>June</v>
          </cell>
          <cell r="C8">
            <v>84400</v>
          </cell>
          <cell r="D8">
            <v>7872.42</v>
          </cell>
          <cell r="E8">
            <v>36026.78125</v>
          </cell>
          <cell r="F8">
            <v>3000.1344771697277</v>
          </cell>
          <cell r="G8">
            <v>4872.2855228302724</v>
          </cell>
          <cell r="H8">
            <v>9.3275118483412328E-2</v>
          </cell>
        </row>
        <row r="9">
          <cell r="B9" t="str">
            <v>July</v>
          </cell>
          <cell r="C9">
            <v>77000</v>
          </cell>
          <cell r="D9">
            <v>7198.4</v>
          </cell>
          <cell r="E9">
            <v>36603.44921875</v>
          </cell>
          <cell r="F9">
            <v>3055.8651033482142</v>
          </cell>
          <cell r="G9">
            <v>4142.5348966517849</v>
          </cell>
          <cell r="H9">
            <v>9.3485714285714283E-2</v>
          </cell>
        </row>
        <row r="10">
          <cell r="B10" t="str">
            <v>August</v>
          </cell>
          <cell r="C10">
            <v>90600</v>
          </cell>
          <cell r="D10">
            <v>8263.85</v>
          </cell>
          <cell r="E10">
            <v>35803.20703125</v>
          </cell>
          <cell r="F10">
            <v>2907.6669630781771</v>
          </cell>
          <cell r="G10">
            <v>5356.1830369218233</v>
          </cell>
          <cell r="H10">
            <v>9.1212472406181022E-2</v>
          </cell>
        </row>
        <row r="11">
          <cell r="B11" t="str">
            <v>September</v>
          </cell>
          <cell r="C11">
            <v>37000</v>
          </cell>
          <cell r="D11">
            <v>4084.94</v>
          </cell>
          <cell r="E11">
            <v>32464.9296875</v>
          </cell>
          <cell r="F11">
            <v>3259.6017808994934</v>
          </cell>
          <cell r="G11">
            <v>825.33821910050665</v>
          </cell>
          <cell r="H11">
            <v>0.11040378378378378</v>
          </cell>
        </row>
        <row r="12">
          <cell r="B12" t="str">
            <v>October</v>
          </cell>
          <cell r="C12">
            <v>47000</v>
          </cell>
          <cell r="D12">
            <v>5004.3599999999997</v>
          </cell>
          <cell r="E12">
            <v>33227.69140625</v>
          </cell>
          <cell r="F12">
            <v>3205.6662724434836</v>
          </cell>
          <cell r="G12">
            <v>1798.693727556516</v>
          </cell>
          <cell r="H12">
            <v>0.10647574468085105</v>
          </cell>
        </row>
        <row r="13">
          <cell r="B13" t="str">
            <v>November</v>
          </cell>
          <cell r="C13">
            <v>64200</v>
          </cell>
          <cell r="D13">
            <v>6612.63</v>
          </cell>
          <cell r="E13">
            <v>29843.7109375</v>
          </cell>
          <cell r="F13">
            <v>2775.4790628468168</v>
          </cell>
          <cell r="G13">
            <v>3837.1509371531833</v>
          </cell>
          <cell r="H13">
            <v>0.10300046728971962</v>
          </cell>
        </row>
        <row r="14">
          <cell r="B14" t="str">
            <v>December</v>
          </cell>
          <cell r="C14">
            <v>67420</v>
          </cell>
          <cell r="D14">
            <v>6508.42</v>
          </cell>
          <cell r="E14">
            <v>24788.517578129999</v>
          </cell>
          <cell r="F14">
            <v>2145.0855091171402</v>
          </cell>
          <cell r="G14">
            <v>4363.3344908828603</v>
          </cell>
          <cell r="H14">
            <v>9.6535449421536634E-2</v>
          </cell>
        </row>
        <row r="15">
          <cell r="F15">
            <v>34759.68133548709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AA43"/>
  <sheetViews>
    <sheetView tabSelected="1" zoomScale="70" zoomScaleNormal="70" workbookViewId="0">
      <selection activeCell="F54" sqref="F54"/>
    </sheetView>
  </sheetViews>
  <sheetFormatPr defaultColWidth="9.1328125" defaultRowHeight="14.25" x14ac:dyDescent="0.45"/>
  <cols>
    <col min="1" max="1" width="16.59765625" style="146" customWidth="1"/>
    <col min="2" max="2" width="11.59765625" style="146" customWidth="1"/>
    <col min="3" max="3" width="9.1328125" style="146" customWidth="1"/>
    <col min="4" max="4" width="9.1328125" style="146"/>
    <col min="5" max="5" width="15.59765625" style="146" customWidth="1"/>
    <col min="6" max="6" width="15.265625" style="146" customWidth="1"/>
    <col min="7" max="7" width="9.1328125" style="146" customWidth="1"/>
    <col min="8" max="8" width="3.53125" style="146" customWidth="1"/>
    <col min="9" max="9" width="9.1328125" style="146"/>
    <col min="10" max="10" width="12" style="146" customWidth="1"/>
    <col min="11" max="11" width="17.265625" style="146" customWidth="1"/>
    <col min="12" max="12" width="12.3984375" style="146" customWidth="1"/>
    <col min="13" max="13" width="18" style="146" customWidth="1"/>
    <col min="14" max="14" width="15.86328125" style="146" customWidth="1"/>
    <col min="15" max="15" width="17.59765625" style="146" customWidth="1"/>
    <col min="16" max="16" width="14.73046875" style="146" customWidth="1"/>
    <col min="17" max="17" width="9.1328125" style="146"/>
    <col min="18" max="19" width="60.86328125" style="146" customWidth="1"/>
    <col min="20" max="20" width="9.1328125" style="146"/>
    <col min="21" max="21" width="9.1328125" style="146" customWidth="1"/>
    <col min="22" max="22" width="17.73046875" style="146" customWidth="1"/>
    <col min="23" max="23" width="9.73046875" style="146" bestFit="1" customWidth="1"/>
    <col min="24" max="24" width="16.59765625" style="146" customWidth="1"/>
    <col min="25" max="25" width="9.1328125" style="146"/>
    <col min="26" max="26" width="18.73046875" style="146" customWidth="1"/>
    <col min="27" max="16384" width="9.1328125" style="146"/>
  </cols>
  <sheetData>
    <row r="1" spans="2:27" ht="46.5" customHeight="1" thickTop="1" thickBot="1" x14ac:dyDescent="0.5">
      <c r="B1" s="476"/>
      <c r="C1" s="476"/>
      <c r="D1" s="476"/>
      <c r="E1" s="476"/>
      <c r="F1" s="476"/>
      <c r="G1" s="476"/>
      <c r="H1" s="476"/>
      <c r="L1" s="457" t="s">
        <v>108</v>
      </c>
      <c r="M1" s="458"/>
      <c r="N1" s="458"/>
      <c r="O1" s="459"/>
      <c r="R1" s="227"/>
    </row>
    <row r="2" spans="2:27" ht="28.5" customHeight="1" thickTop="1" x14ac:dyDescent="0.5">
      <c r="B2" s="147"/>
      <c r="C2" s="828" t="s">
        <v>150</v>
      </c>
      <c r="D2" s="829"/>
      <c r="E2" s="829"/>
      <c r="F2" s="829"/>
      <c r="G2" s="830"/>
      <c r="H2" s="147"/>
      <c r="L2" s="460"/>
      <c r="M2" s="461"/>
      <c r="N2" s="461"/>
      <c r="O2" s="462"/>
      <c r="R2" s="227"/>
    </row>
    <row r="3" spans="2:27" ht="24" customHeight="1" x14ac:dyDescent="0.45">
      <c r="C3" s="831" t="s">
        <v>207</v>
      </c>
      <c r="D3" s="832"/>
      <c r="E3" s="832"/>
      <c r="F3" s="832"/>
      <c r="G3" s="833"/>
      <c r="L3" s="460"/>
      <c r="M3" s="461"/>
      <c r="N3" s="461"/>
      <c r="O3" s="462"/>
    </row>
    <row r="4" spans="2:27" x14ac:dyDescent="0.45">
      <c r="C4" s="834" t="s">
        <v>208</v>
      </c>
      <c r="D4" s="835"/>
      <c r="E4" s="835"/>
      <c r="F4" s="835"/>
      <c r="G4" s="836"/>
      <c r="L4" s="470" t="s">
        <v>107</v>
      </c>
      <c r="M4" s="471"/>
      <c r="N4" s="471"/>
      <c r="O4" s="472"/>
    </row>
    <row r="5" spans="2:27" x14ac:dyDescent="0.45">
      <c r="C5" s="834" t="s">
        <v>209</v>
      </c>
      <c r="D5" s="835"/>
      <c r="E5" s="835"/>
      <c r="F5" s="835"/>
      <c r="G5" s="836"/>
      <c r="H5" s="148"/>
      <c r="L5" s="470"/>
      <c r="M5" s="471"/>
      <c r="N5" s="471"/>
      <c r="O5" s="472"/>
      <c r="P5" s="149"/>
      <c r="Q5" s="149"/>
      <c r="R5" s="149"/>
      <c r="S5" s="149"/>
      <c r="T5" s="149"/>
      <c r="U5" s="149"/>
      <c r="V5" s="149"/>
      <c r="W5" s="149"/>
      <c r="X5" s="149"/>
      <c r="Y5" s="149"/>
      <c r="Z5" s="149"/>
      <c r="AA5" s="149"/>
    </row>
    <row r="6" spans="2:27" x14ac:dyDescent="0.45">
      <c r="C6" s="834" t="s">
        <v>210</v>
      </c>
      <c r="D6" s="835"/>
      <c r="E6" s="835"/>
      <c r="F6" s="835"/>
      <c r="G6" s="836"/>
      <c r="H6" s="148"/>
      <c r="L6" s="470"/>
      <c r="M6" s="471"/>
      <c r="N6" s="471"/>
      <c r="O6" s="472"/>
      <c r="P6" s="149"/>
      <c r="Q6" s="149"/>
      <c r="R6" s="149"/>
      <c r="S6" s="149"/>
      <c r="T6" s="149"/>
      <c r="U6" s="149"/>
      <c r="V6" s="455"/>
      <c r="W6" s="149"/>
      <c r="X6" s="455"/>
      <c r="Y6" s="149"/>
      <c r="Z6" s="455"/>
      <c r="AA6" s="149"/>
    </row>
    <row r="7" spans="2:27" ht="15" customHeight="1" x14ac:dyDescent="0.45">
      <c r="C7" s="837"/>
      <c r="D7" s="838"/>
      <c r="E7" s="839" t="s">
        <v>211</v>
      </c>
      <c r="F7" s="838"/>
      <c r="G7" s="840"/>
      <c r="L7" s="470"/>
      <c r="M7" s="471"/>
      <c r="N7" s="471"/>
      <c r="O7" s="472"/>
      <c r="P7" s="455"/>
      <c r="Q7" s="149"/>
      <c r="R7" s="456"/>
      <c r="S7" s="149"/>
      <c r="T7" s="149"/>
      <c r="U7" s="149"/>
      <c r="V7" s="455"/>
      <c r="W7" s="149"/>
      <c r="X7" s="455"/>
      <c r="Y7" s="149"/>
      <c r="Z7" s="455"/>
      <c r="AA7" s="149"/>
    </row>
    <row r="8" spans="2:27" ht="15.75" customHeight="1" thickBot="1" x14ac:dyDescent="0.5">
      <c r="C8" s="841"/>
      <c r="D8" s="842"/>
      <c r="E8" s="843" t="s">
        <v>68</v>
      </c>
      <c r="F8" s="843" t="s">
        <v>69</v>
      </c>
      <c r="G8" s="844"/>
      <c r="L8" s="473"/>
      <c r="M8" s="474"/>
      <c r="N8" s="474"/>
      <c r="O8" s="475"/>
      <c r="P8" s="455"/>
      <c r="Q8" s="149"/>
      <c r="R8" s="456"/>
      <c r="S8" s="149"/>
      <c r="T8" s="150"/>
      <c r="U8" s="149"/>
      <c r="V8" s="455"/>
      <c r="W8" s="151"/>
      <c r="X8" s="455"/>
      <c r="Y8" s="149"/>
      <c r="Z8" s="455"/>
      <c r="AA8" s="149"/>
    </row>
    <row r="9" spans="2:27" ht="18.399999999999999" thickTop="1" x14ac:dyDescent="0.55000000000000004">
      <c r="C9" s="799"/>
      <c r="D9" s="812" t="s">
        <v>70</v>
      </c>
      <c r="E9" s="845">
        <v>35360</v>
      </c>
      <c r="F9" s="846">
        <v>4709.3</v>
      </c>
      <c r="G9" s="800"/>
      <c r="K9"/>
      <c r="L9" s="169"/>
      <c r="M9" s="192"/>
      <c r="N9" s="173"/>
      <c r="O9" s="173"/>
      <c r="P9" s="154"/>
      <c r="Q9" s="153"/>
      <c r="R9" s="155"/>
      <c r="S9" s="153"/>
      <c r="T9" s="156"/>
      <c r="U9" s="157"/>
      <c r="V9" s="158"/>
      <c r="W9" s="159"/>
      <c r="X9" s="160"/>
      <c r="Y9" s="149"/>
      <c r="Z9" s="161"/>
      <c r="AA9" s="149"/>
    </row>
    <row r="10" spans="2:27" ht="18" x14ac:dyDescent="0.55000000000000004">
      <c r="C10" s="799"/>
      <c r="D10" s="813" t="s">
        <v>71</v>
      </c>
      <c r="E10" s="847">
        <v>36040</v>
      </c>
      <c r="F10" s="848">
        <v>4798.74</v>
      </c>
      <c r="G10" s="800"/>
      <c r="K10"/>
      <c r="L10" s="169"/>
      <c r="M10" s="192"/>
      <c r="N10" s="173"/>
      <c r="O10" s="173"/>
      <c r="P10" s="154"/>
      <c r="Q10" s="153"/>
      <c r="R10" s="155"/>
      <c r="S10" s="153"/>
      <c r="T10" s="156"/>
      <c r="U10" s="157"/>
      <c r="V10" s="158"/>
      <c r="W10" s="159"/>
      <c r="X10" s="160"/>
      <c r="Y10" s="149"/>
      <c r="Z10" s="161"/>
      <c r="AA10" s="149"/>
    </row>
    <row r="11" spans="2:27" ht="18" x14ac:dyDescent="0.55000000000000004">
      <c r="C11" s="799"/>
      <c r="D11" s="813" t="s">
        <v>72</v>
      </c>
      <c r="E11" s="847">
        <v>36600</v>
      </c>
      <c r="F11" s="848">
        <v>4872.41</v>
      </c>
      <c r="G11" s="800"/>
      <c r="K11"/>
      <c r="L11" s="169"/>
      <c r="M11" s="192"/>
      <c r="N11" s="173"/>
      <c r="O11" s="173"/>
      <c r="P11" s="154"/>
      <c r="Q11" s="153"/>
      <c r="R11" s="155"/>
      <c r="S11" s="153"/>
      <c r="T11" s="156"/>
      <c r="U11" s="157"/>
      <c r="V11" s="158"/>
      <c r="W11" s="159"/>
      <c r="X11" s="160"/>
      <c r="Y11" s="149"/>
      <c r="Z11" s="161"/>
      <c r="AA11" s="149"/>
    </row>
    <row r="12" spans="2:27" ht="18" x14ac:dyDescent="0.55000000000000004">
      <c r="C12" s="799"/>
      <c r="D12" s="814" t="s">
        <v>73</v>
      </c>
      <c r="E12" s="847">
        <v>39360</v>
      </c>
      <c r="F12" s="848">
        <v>5288.31</v>
      </c>
      <c r="G12" s="800"/>
      <c r="K12"/>
      <c r="L12" s="169"/>
      <c r="M12" s="192"/>
      <c r="N12" s="173"/>
      <c r="O12" s="173"/>
      <c r="P12" s="154"/>
      <c r="Q12" s="153"/>
      <c r="R12" s="155"/>
      <c r="S12" s="153"/>
      <c r="T12" s="156"/>
      <c r="U12" s="157"/>
      <c r="V12" s="158"/>
      <c r="W12" s="159"/>
      <c r="X12" s="160"/>
      <c r="Y12" s="149"/>
      <c r="Z12" s="161"/>
      <c r="AA12" s="149"/>
    </row>
    <row r="13" spans="2:27" ht="18" x14ac:dyDescent="0.55000000000000004">
      <c r="C13" s="799"/>
      <c r="D13" s="814" t="s">
        <v>74</v>
      </c>
      <c r="E13" s="847">
        <v>53720</v>
      </c>
      <c r="F13" s="848">
        <v>8166.94</v>
      </c>
      <c r="G13" s="800"/>
      <c r="K13"/>
      <c r="L13" s="169"/>
      <c r="M13" s="192"/>
      <c r="N13" s="173"/>
      <c r="O13" s="173"/>
      <c r="P13" s="154"/>
      <c r="Q13" s="153"/>
      <c r="R13" s="155"/>
      <c r="S13" s="153"/>
      <c r="T13" s="156"/>
      <c r="U13" s="157"/>
      <c r="V13" s="158"/>
      <c r="W13" s="159"/>
      <c r="X13" s="160"/>
      <c r="Y13" s="149"/>
      <c r="Z13" s="161"/>
      <c r="AA13" s="149"/>
    </row>
    <row r="14" spans="2:27" ht="18" x14ac:dyDescent="0.55000000000000004">
      <c r="C14" s="799"/>
      <c r="D14" s="814" t="s">
        <v>75</v>
      </c>
      <c r="E14" s="847">
        <v>57080</v>
      </c>
      <c r="F14" s="848">
        <v>8677.58</v>
      </c>
      <c r="G14" s="800"/>
      <c r="K14"/>
      <c r="L14" s="169"/>
      <c r="M14" s="192"/>
      <c r="N14" s="173"/>
      <c r="O14" s="173"/>
      <c r="P14" s="154"/>
      <c r="Q14" s="153"/>
      <c r="R14" s="155"/>
      <c r="S14" s="153"/>
      <c r="T14" s="156"/>
      <c r="U14" s="157"/>
      <c r="V14" s="158"/>
      <c r="W14" s="159"/>
      <c r="X14" s="160"/>
      <c r="Y14" s="149"/>
      <c r="Z14" s="161"/>
      <c r="AA14" s="149"/>
    </row>
    <row r="15" spans="2:27" ht="18.399999999999999" thickBot="1" x14ac:dyDescent="0.6">
      <c r="C15" s="799"/>
      <c r="D15" s="814" t="s">
        <v>76</v>
      </c>
      <c r="E15" s="847">
        <v>63000</v>
      </c>
      <c r="F15" s="848">
        <v>9494.07</v>
      </c>
      <c r="G15" s="800"/>
      <c r="K15"/>
      <c r="L15" s="169"/>
      <c r="M15" s="192"/>
      <c r="N15" s="173"/>
      <c r="O15" s="173"/>
      <c r="P15" s="154"/>
      <c r="Q15" s="153"/>
      <c r="R15" s="155"/>
      <c r="S15" s="153"/>
      <c r="T15" s="156"/>
      <c r="U15" s="157"/>
      <c r="V15" s="158"/>
      <c r="W15" s="159"/>
      <c r="X15" s="160"/>
      <c r="Y15" s="149"/>
      <c r="Z15" s="161"/>
      <c r="AA15" s="149"/>
    </row>
    <row r="16" spans="2:27" ht="18.75" thickTop="1" thickBot="1" x14ac:dyDescent="0.6">
      <c r="C16" s="799"/>
      <c r="D16" s="814" t="s">
        <v>77</v>
      </c>
      <c r="E16" s="847">
        <v>61720</v>
      </c>
      <c r="F16" s="848">
        <v>9301.19</v>
      </c>
      <c r="G16" s="800"/>
      <c r="K16"/>
      <c r="L16" s="169"/>
      <c r="M16" s="192"/>
      <c r="N16" s="173"/>
      <c r="O16" s="173"/>
      <c r="P16" s="436">
        <f>C24</f>
        <v>0.14096192486895751</v>
      </c>
      <c r="Q16" s="477" t="s">
        <v>187</v>
      </c>
      <c r="R16" s="478"/>
      <c r="S16" s="162"/>
      <c r="T16" s="163"/>
      <c r="U16" s="164"/>
      <c r="V16" s="158"/>
      <c r="W16" s="165"/>
      <c r="X16" s="160"/>
      <c r="Y16" s="165"/>
      <c r="Z16" s="161"/>
      <c r="AA16" s="166"/>
    </row>
    <row r="17" spans="3:27" ht="18.399999999999999" thickTop="1" x14ac:dyDescent="0.55000000000000004">
      <c r="C17" s="799"/>
      <c r="D17" s="814" t="s">
        <v>78</v>
      </c>
      <c r="E17" s="847">
        <v>50760</v>
      </c>
      <c r="F17" s="848">
        <v>6735.07</v>
      </c>
      <c r="G17" s="800"/>
      <c r="K17"/>
      <c r="L17" s="169"/>
      <c r="M17" s="192"/>
      <c r="N17" s="173"/>
      <c r="O17" s="173"/>
      <c r="P17" s="437">
        <f>(P16*0.05)+P16</f>
        <v>0.14801002111240538</v>
      </c>
      <c r="Q17" s="154"/>
      <c r="R17" s="153"/>
      <c r="S17" s="162"/>
      <c r="T17" s="162"/>
      <c r="U17" s="162"/>
      <c r="V17" s="162"/>
      <c r="W17" s="167"/>
      <c r="X17" s="162"/>
      <c r="Y17" s="149"/>
      <c r="Z17" s="149"/>
      <c r="AA17" s="149"/>
    </row>
    <row r="18" spans="3:27" ht="18.75" customHeight="1" x14ac:dyDescent="0.5">
      <c r="C18" s="799"/>
      <c r="D18" s="814" t="s">
        <v>79</v>
      </c>
      <c r="E18" s="847">
        <v>40920</v>
      </c>
      <c r="F18" s="848">
        <v>5440.68</v>
      </c>
      <c r="G18" s="800"/>
      <c r="K18"/>
      <c r="L18" s="169"/>
      <c r="M18" s="192"/>
      <c r="N18" s="173"/>
      <c r="O18" s="173"/>
      <c r="P18" s="437">
        <f t="shared" ref="P18:P39" si="0">(P17*0.05)+P17</f>
        <v>0.15541052216802564</v>
      </c>
      <c r="Q18" s="154"/>
      <c r="R18" s="153"/>
      <c r="S18" s="149"/>
      <c r="T18" s="149"/>
      <c r="U18" s="149"/>
      <c r="V18" s="149"/>
      <c r="W18" s="149"/>
      <c r="X18" s="149"/>
      <c r="Y18" s="149"/>
      <c r="Z18" s="149"/>
      <c r="AA18" s="149"/>
    </row>
    <row r="19" spans="3:27" ht="18.75" customHeight="1" thickBot="1" x14ac:dyDescent="0.6">
      <c r="C19" s="799"/>
      <c r="D19" s="814" t="s">
        <v>80</v>
      </c>
      <c r="E19" s="847">
        <v>37840</v>
      </c>
      <c r="F19" s="848">
        <v>5035.53</v>
      </c>
      <c r="G19" s="800"/>
      <c r="K19"/>
      <c r="L19" s="169"/>
      <c r="M19" s="192"/>
      <c r="N19" s="173"/>
      <c r="O19" s="173"/>
      <c r="P19" s="437">
        <f t="shared" si="0"/>
        <v>0.16318104827642693</v>
      </c>
      <c r="Q19" s="154"/>
      <c r="R19" s="162"/>
    </row>
    <row r="20" spans="3:27" ht="18.75" thickTop="1" thickBot="1" x14ac:dyDescent="0.6">
      <c r="C20" s="799"/>
      <c r="D20" s="815" t="s">
        <v>81</v>
      </c>
      <c r="E20" s="849">
        <v>37040</v>
      </c>
      <c r="F20" s="850">
        <v>4930.3</v>
      </c>
      <c r="G20" s="800"/>
      <c r="I20" s="818">
        <f>P40</f>
        <v>0.44595693794235175</v>
      </c>
      <c r="J20" s="816" t="s">
        <v>191</v>
      </c>
      <c r="K20" s="817"/>
      <c r="L20" s="169"/>
      <c r="M20" s="192"/>
      <c r="N20" s="173"/>
      <c r="O20" s="173"/>
      <c r="P20" s="437">
        <f t="shared" si="0"/>
        <v>0.17134010069024827</v>
      </c>
      <c r="Q20" s="154"/>
      <c r="R20" s="162"/>
      <c r="U20" s="152"/>
    </row>
    <row r="21" spans="3:27" ht="16.5" thickTop="1" thickBot="1" x14ac:dyDescent="0.5">
      <c r="C21" s="801"/>
      <c r="D21" s="264"/>
      <c r="E21" s="265">
        <f>SUM(E9:E20)</f>
        <v>549440</v>
      </c>
      <c r="F21" s="266">
        <f>SUM(F9:F20)</f>
        <v>77450.12000000001</v>
      </c>
      <c r="G21" s="802"/>
      <c r="I21" s="819"/>
      <c r="J21" s="820"/>
      <c r="K21" s="821"/>
      <c r="L21" s="170"/>
      <c r="M21" s="149"/>
      <c r="N21" s="170"/>
      <c r="O21" s="149"/>
      <c r="P21" s="437">
        <f t="shared" si="0"/>
        <v>0.17990710572476068</v>
      </c>
      <c r="Q21" s="154"/>
      <c r="R21" s="149"/>
    </row>
    <row r="22" spans="3:27" ht="15" customHeight="1" thickTop="1" x14ac:dyDescent="0.45">
      <c r="C22" s="803"/>
      <c r="D22" s="466"/>
      <c r="E22" s="467" t="s">
        <v>82</v>
      </c>
      <c r="F22" s="468" t="s">
        <v>83</v>
      </c>
      <c r="G22" s="804"/>
      <c r="J22" s="822"/>
      <c r="K22" s="823"/>
      <c r="L22" s="152"/>
      <c r="N22" s="172"/>
      <c r="O22" s="172"/>
      <c r="P22" s="437">
        <f t="shared" si="0"/>
        <v>0.18890246101099872</v>
      </c>
      <c r="Q22" s="154"/>
    </row>
    <row r="23" spans="3:27" ht="16.149999999999999" thickBot="1" x14ac:dyDescent="0.5">
      <c r="C23" s="803"/>
      <c r="D23" s="466"/>
      <c r="E23" s="467"/>
      <c r="F23" s="468"/>
      <c r="G23" s="804"/>
      <c r="J23" s="148"/>
      <c r="K23" s="148"/>
      <c r="N23" s="171"/>
      <c r="O23" s="171"/>
      <c r="P23" s="437">
        <f t="shared" si="0"/>
        <v>0.19834758406154865</v>
      </c>
      <c r="Q23" s="154"/>
    </row>
    <row r="24" spans="3:27" ht="16.5" thickTop="1" thickBot="1" x14ac:dyDescent="0.55000000000000004">
      <c r="C24" s="873">
        <f>F21/E21</f>
        <v>0.14096192486895751</v>
      </c>
      <c r="D24" s="874"/>
      <c r="E24" s="874"/>
      <c r="F24" s="871"/>
      <c r="G24" s="872"/>
      <c r="I24" s="818">
        <f>P42</f>
        <v>0.26876177439104781</v>
      </c>
      <c r="J24" s="824" t="s">
        <v>192</v>
      </c>
      <c r="K24" s="825"/>
      <c r="N24" s="171"/>
      <c r="O24" s="171"/>
      <c r="P24" s="437">
        <f t="shared" si="0"/>
        <v>0.20826496326462607</v>
      </c>
      <c r="Q24" s="170"/>
    </row>
    <row r="25" spans="3:27" ht="15" thickTop="1" thickBot="1" x14ac:dyDescent="0.5">
      <c r="C25" s="805" t="s">
        <v>145</v>
      </c>
      <c r="D25" s="469"/>
      <c r="E25" s="469"/>
      <c r="F25" s="469"/>
      <c r="G25" s="806"/>
      <c r="I25" s="819"/>
      <c r="J25" s="826"/>
      <c r="K25" s="827"/>
      <c r="N25" s="171"/>
      <c r="O25" s="171"/>
      <c r="P25" s="437">
        <f t="shared" si="0"/>
        <v>0.21867821142785737</v>
      </c>
      <c r="Q25" s="149"/>
    </row>
    <row r="26" spans="3:27" ht="14.65" thickTop="1" x14ac:dyDescent="0.45">
      <c r="C26" s="801"/>
      <c r="D26" s="463">
        <f>E21/365</f>
        <v>1505.3150684931506</v>
      </c>
      <c r="E26" s="463"/>
      <c r="F26" s="266">
        <f>F21/365</f>
        <v>212.19210958904111</v>
      </c>
      <c r="G26" s="802"/>
      <c r="J26" s="822"/>
      <c r="K26" s="822"/>
      <c r="N26" s="171"/>
      <c r="O26" s="171"/>
      <c r="P26" s="437">
        <f t="shared" si="0"/>
        <v>0.22961212199925024</v>
      </c>
      <c r="Q26" s="149"/>
    </row>
    <row r="27" spans="3:27" x14ac:dyDescent="0.45">
      <c r="C27" s="801"/>
      <c r="D27" s="464" t="s">
        <v>84</v>
      </c>
      <c r="E27" s="464"/>
      <c r="F27" s="267" t="s">
        <v>85</v>
      </c>
      <c r="G27" s="802"/>
      <c r="N27" s="171"/>
      <c r="O27" s="171"/>
      <c r="P27" s="437">
        <f t="shared" si="0"/>
        <v>0.24109272809921276</v>
      </c>
      <c r="Q27" s="149"/>
    </row>
    <row r="28" spans="3:27" ht="28.5" customHeight="1" thickBot="1" x14ac:dyDescent="0.55000000000000004">
      <c r="C28" s="807" t="s">
        <v>97</v>
      </c>
      <c r="D28" s="808"/>
      <c r="E28" s="809"/>
      <c r="F28" s="810"/>
      <c r="G28" s="811">
        <f>'3. Pre-Post Solar Costs'!E15/'1. ANNUAL USAGE '!E21</f>
        <v>0.72345917334582488</v>
      </c>
      <c r="N28" s="171"/>
      <c r="O28" s="171"/>
      <c r="P28" s="437">
        <f t="shared" si="0"/>
        <v>0.25314736450417341</v>
      </c>
      <c r="Q28" s="149"/>
    </row>
    <row r="29" spans="3:27" ht="21" customHeight="1" thickTop="1" x14ac:dyDescent="0.45">
      <c r="C29" s="276"/>
      <c r="D29" s="276"/>
      <c r="E29" s="276"/>
      <c r="F29" s="277"/>
      <c r="G29" s="276"/>
      <c r="N29" s="171"/>
      <c r="O29" s="171"/>
      <c r="P29" s="437">
        <f t="shared" si="0"/>
        <v>0.2658047327293821</v>
      </c>
      <c r="Q29" s="149"/>
    </row>
    <row r="30" spans="3:27" ht="21" customHeight="1" x14ac:dyDescent="0.45">
      <c r="C30" s="168"/>
      <c r="D30" s="168"/>
      <c r="E30" s="168"/>
      <c r="F30" s="168"/>
      <c r="G30" s="168"/>
      <c r="N30" s="171"/>
      <c r="O30" s="171"/>
      <c r="P30" s="437">
        <f t="shared" si="0"/>
        <v>0.27909496936585121</v>
      </c>
      <c r="Q30" s="149"/>
    </row>
    <row r="31" spans="3:27" x14ac:dyDescent="0.45">
      <c r="N31" s="149"/>
      <c r="O31" s="149"/>
      <c r="P31" s="437">
        <f t="shared" si="0"/>
        <v>0.2930497178341438</v>
      </c>
      <c r="Q31" s="149"/>
    </row>
    <row r="32" spans="3:27" x14ac:dyDescent="0.45">
      <c r="C32" s="465"/>
      <c r="D32" s="465"/>
      <c r="E32" s="465"/>
      <c r="F32" s="465"/>
      <c r="G32" s="465"/>
      <c r="N32" s="149"/>
      <c r="O32" s="149"/>
      <c r="P32" s="437">
        <f t="shared" si="0"/>
        <v>0.307702203725851</v>
      </c>
      <c r="Q32" s="149"/>
    </row>
    <row r="33" spans="3:18" x14ac:dyDescent="0.45">
      <c r="C33" s="465"/>
      <c r="D33" s="465"/>
      <c r="E33" s="465"/>
      <c r="F33" s="465"/>
      <c r="G33" s="465"/>
      <c r="P33" s="437">
        <f t="shared" si="0"/>
        <v>0.32308731391214357</v>
      </c>
      <c r="Q33" s="149"/>
    </row>
    <row r="34" spans="3:18" x14ac:dyDescent="0.45">
      <c r="P34" s="437">
        <f t="shared" si="0"/>
        <v>0.33924167960775076</v>
      </c>
      <c r="Q34" s="149"/>
    </row>
    <row r="35" spans="3:18" x14ac:dyDescent="0.45">
      <c r="P35" s="437">
        <f t="shared" si="0"/>
        <v>0.35620376358813832</v>
      </c>
      <c r="Q35" s="149"/>
    </row>
    <row r="36" spans="3:18" x14ac:dyDescent="0.45">
      <c r="P36" s="437">
        <f t="shared" si="0"/>
        <v>0.37401395176754526</v>
      </c>
    </row>
    <row r="37" spans="3:18" x14ac:dyDescent="0.45">
      <c r="P37" s="437">
        <f t="shared" si="0"/>
        <v>0.39271464935592254</v>
      </c>
    </row>
    <row r="38" spans="3:18" x14ac:dyDescent="0.45">
      <c r="P38" s="437">
        <f t="shared" si="0"/>
        <v>0.41235038182371869</v>
      </c>
    </row>
    <row r="39" spans="3:18" ht="14.65" thickBot="1" x14ac:dyDescent="0.5">
      <c r="P39" s="437">
        <f t="shared" si="0"/>
        <v>0.43296790091490461</v>
      </c>
    </row>
    <row r="40" spans="3:18" ht="16.5" thickTop="1" thickBot="1" x14ac:dyDescent="0.55000000000000004">
      <c r="P40" s="438">
        <f t="shared" ref="P40" si="1">(P39*0.03)+P39</f>
        <v>0.44595693794235175</v>
      </c>
      <c r="Q40" s="479" t="s">
        <v>188</v>
      </c>
      <c r="R40" s="480"/>
    </row>
    <row r="41" spans="3:18" ht="15" thickTop="1" thickBot="1" x14ac:dyDescent="0.5">
      <c r="P41" s="437">
        <f>SUM(P16:P40)</f>
        <v>6.7190443597761957</v>
      </c>
    </row>
    <row r="42" spans="3:18" ht="18.75" thickTop="1" thickBot="1" x14ac:dyDescent="0.6">
      <c r="P42" s="439">
        <f>P41/25</f>
        <v>0.26876177439104781</v>
      </c>
      <c r="Q42" s="481" t="s">
        <v>189</v>
      </c>
      <c r="R42" s="482"/>
    </row>
    <row r="43" spans="3:18" ht="14.65" thickTop="1" x14ac:dyDescent="0.45"/>
  </sheetData>
  <sheetProtection selectLockedCells="1"/>
  <mergeCells count="26">
    <mergeCell ref="C24:E24"/>
    <mergeCell ref="J20:K21"/>
    <mergeCell ref="J24:K25"/>
    <mergeCell ref="Q16:R16"/>
    <mergeCell ref="Q40:R40"/>
    <mergeCell ref="Q42:R42"/>
    <mergeCell ref="L1:O3"/>
    <mergeCell ref="C2:G2"/>
    <mergeCell ref="D26:E26"/>
    <mergeCell ref="D27:E27"/>
    <mergeCell ref="C32:G33"/>
    <mergeCell ref="C22:D23"/>
    <mergeCell ref="E22:E23"/>
    <mergeCell ref="F22:F23"/>
    <mergeCell ref="C25:G25"/>
    <mergeCell ref="L4:O8"/>
    <mergeCell ref="B1:H1"/>
    <mergeCell ref="C3:G3"/>
    <mergeCell ref="C4:G4"/>
    <mergeCell ref="C5:G5"/>
    <mergeCell ref="C6:G6"/>
    <mergeCell ref="X6:X8"/>
    <mergeCell ref="Z6:Z8"/>
    <mergeCell ref="P7:P8"/>
    <mergeCell ref="R7:R8"/>
    <mergeCell ref="V6:V8"/>
  </mergeCells>
  <pageMargins left="0.25" right="0.25" top="0.75" bottom="0.75" header="0.3" footer="0.3"/>
  <pageSetup scale="81" orientation="portrait" r:id="rId1"/>
  <headerFooter>
    <oddHeader>&amp;L
                      &amp;G</oddHeader>
    <oddFooter>&amp;C&amp;"Arial,Bold"2 Corpus Cristi Place Suite 200, Hilton Head, SC 29928         844.765.2793          www.coastalsolar.com</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S42"/>
  <sheetViews>
    <sheetView showGridLines="0" topLeftCell="A6" zoomScale="80" zoomScaleNormal="80" zoomScaleSheetLayoutView="55" workbookViewId="0">
      <selection activeCell="D55" sqref="D55"/>
    </sheetView>
  </sheetViews>
  <sheetFormatPr defaultColWidth="9.1328125" defaultRowHeight="12.75" x14ac:dyDescent="0.35"/>
  <cols>
    <col min="2" max="2" width="1.265625" style="16" customWidth="1"/>
    <col min="3" max="3" width="16.73046875" style="16" customWidth="1"/>
    <col min="4" max="4" width="15.265625" style="16" customWidth="1"/>
    <col min="5" max="5" width="24.73046875" style="16" customWidth="1"/>
    <col min="6" max="6" width="14.59765625" style="16" customWidth="1"/>
    <col min="7" max="7" width="13.86328125" style="16" customWidth="1"/>
    <col min="8" max="8" width="37.265625" style="16" bestFit="1" customWidth="1"/>
    <col min="9" max="9" width="17" style="16" customWidth="1"/>
    <col min="10" max="10" width="11.1328125" style="16" customWidth="1"/>
    <col min="11" max="11" width="21.86328125" style="16" customWidth="1"/>
    <col min="12" max="12" width="13.59765625" style="16" bestFit="1" customWidth="1"/>
    <col min="13" max="13" width="13.3984375" style="16" customWidth="1"/>
    <col min="14" max="14" width="17.86328125" style="16" customWidth="1"/>
    <col min="15" max="15" width="1.59765625" style="16" customWidth="1"/>
    <col min="16" max="16" width="22.73046875" style="16" bestFit="1" customWidth="1"/>
    <col min="17" max="17" width="1.86328125" style="16" customWidth="1"/>
    <col min="18" max="18" width="11.59765625" style="16" customWidth="1"/>
    <col min="19" max="19" width="15.73046875" style="16" customWidth="1"/>
    <col min="20" max="16384" width="9.1328125" style="16"/>
  </cols>
  <sheetData>
    <row r="1" spans="2:19" ht="24.95" customHeight="1" x14ac:dyDescent="0.35">
      <c r="B1" s="649"/>
      <c r="C1" s="649"/>
      <c r="D1" s="649"/>
      <c r="E1" s="649"/>
      <c r="F1" s="649"/>
      <c r="G1" s="649"/>
      <c r="H1" s="649"/>
      <c r="I1" s="649"/>
      <c r="J1" s="649"/>
      <c r="K1" s="649"/>
    </row>
    <row r="2" spans="2:19" ht="49.5" customHeight="1" x14ac:dyDescent="0.35">
      <c r="B2" s="194"/>
      <c r="C2" s="194"/>
      <c r="D2" s="194"/>
      <c r="E2" s="194"/>
      <c r="F2" s="194"/>
      <c r="G2" s="103"/>
      <c r="H2" s="94"/>
      <c r="I2" s="84"/>
      <c r="J2" s="194"/>
      <c r="K2" s="194"/>
    </row>
    <row r="3" spans="2:19" ht="24.95" customHeight="1" x14ac:dyDescent="0.35">
      <c r="B3" s="194"/>
      <c r="C3" s="194"/>
      <c r="D3" s="194"/>
      <c r="E3" s="194"/>
      <c r="F3" s="194"/>
      <c r="G3" s="648" t="str">
        <f>'4. SC Quote'!B1</f>
        <v>Le Creuset of America, Inc.</v>
      </c>
      <c r="H3" s="648"/>
      <c r="I3" s="648"/>
      <c r="J3" s="648"/>
      <c r="K3" s="194"/>
    </row>
    <row r="5" spans="2:19" ht="27.7" customHeight="1" x14ac:dyDescent="0.6">
      <c r="C5" s="650" t="s">
        <v>49</v>
      </c>
      <c r="D5" s="650"/>
      <c r="E5" s="650"/>
      <c r="G5" s="650" t="s">
        <v>113</v>
      </c>
      <c r="H5" s="650"/>
      <c r="I5" s="254">
        <f>N38</f>
        <v>0.15714228592732193</v>
      </c>
      <c r="J5" s="69"/>
      <c r="K5" s="69"/>
      <c r="N5" s="193"/>
    </row>
    <row r="6" spans="2:19" ht="20.65" x14ac:dyDescent="0.6">
      <c r="C6" s="651">
        <f>'4. SC Quote'!I21*-1</f>
        <v>-990000.00000000012</v>
      </c>
      <c r="D6" s="651"/>
      <c r="E6" s="651"/>
      <c r="G6" s="31">
        <f>'4. SC Quote'!B7</f>
        <v>450</v>
      </c>
      <c r="H6" s="31" t="str">
        <f>'4. SC Quote'!C7</f>
        <v>Kilowatt Roof Mount Solar Array</v>
      </c>
    </row>
    <row r="7" spans="2:19" ht="12.75" customHeight="1" thickBot="1" x14ac:dyDescent="0.45">
      <c r="C7" s="27"/>
      <c r="G7" s="261">
        <f>'1. ANNUAL USAGE '!G28</f>
        <v>0.72345917334582488</v>
      </c>
      <c r="H7" s="260" t="s">
        <v>116</v>
      </c>
    </row>
    <row r="8" spans="2:19" ht="15" customHeight="1" thickTop="1" x14ac:dyDescent="0.5">
      <c r="C8" s="554" t="s">
        <v>196</v>
      </c>
      <c r="D8" s="555"/>
      <c r="E8" s="556"/>
      <c r="H8" s="193" t="s">
        <v>115</v>
      </c>
      <c r="I8" s="101">
        <f>C6*0.25*-1</f>
        <v>247500.00000000003</v>
      </c>
      <c r="L8" s="34"/>
    </row>
    <row r="9" spans="2:19" ht="16.5" customHeight="1" x14ac:dyDescent="0.5">
      <c r="B9" s="36"/>
      <c r="C9" s="557"/>
      <c r="D9" s="558"/>
      <c r="E9" s="559"/>
      <c r="F9" s="36"/>
      <c r="G9" s="36"/>
      <c r="H9" s="193" t="s">
        <v>56</v>
      </c>
      <c r="I9" s="101">
        <f>'2. System Sizing'!B9</f>
        <v>297000</v>
      </c>
      <c r="J9" s="36"/>
      <c r="K9" s="36"/>
      <c r="L9" s="34"/>
      <c r="N9" s="16" t="s">
        <v>114</v>
      </c>
      <c r="P9" s="71"/>
    </row>
    <row r="10" spans="2:19" ht="2.25" customHeight="1" thickBot="1" x14ac:dyDescent="0.45">
      <c r="B10" s="36"/>
      <c r="C10" s="557"/>
      <c r="D10" s="558"/>
      <c r="E10" s="559"/>
      <c r="F10" s="36"/>
      <c r="G10" s="36"/>
      <c r="H10" s="92"/>
      <c r="I10" s="93"/>
      <c r="J10" s="36"/>
      <c r="K10" s="36"/>
      <c r="L10" s="34"/>
      <c r="P10" s="71"/>
      <c r="R10" s="16" t="s">
        <v>193</v>
      </c>
    </row>
    <row r="11" spans="2:19" ht="17.25" customHeight="1" thickTop="1" x14ac:dyDescent="0.5">
      <c r="B11" s="36"/>
      <c r="C11" s="73"/>
      <c r="D11" s="549" t="s">
        <v>53</v>
      </c>
      <c r="E11" s="97" t="s">
        <v>51</v>
      </c>
      <c r="F11" s="560" t="s">
        <v>50</v>
      </c>
      <c r="G11" s="562" t="s">
        <v>57</v>
      </c>
      <c r="H11" s="562"/>
      <c r="I11" s="104">
        <f>'4. SC Quote'!I23</f>
        <v>35000</v>
      </c>
      <c r="J11" s="95"/>
      <c r="K11" s="652" t="s">
        <v>48</v>
      </c>
      <c r="N11" s="250">
        <f>C6</f>
        <v>-990000.00000000012</v>
      </c>
    </row>
    <row r="12" spans="2:19" ht="12.75" customHeight="1" x14ac:dyDescent="0.4">
      <c r="B12" s="36"/>
      <c r="C12" s="73"/>
      <c r="D12" s="549"/>
      <c r="E12" s="97" t="s">
        <v>52</v>
      </c>
      <c r="F12" s="560"/>
      <c r="G12" s="565" t="s">
        <v>55</v>
      </c>
      <c r="H12" s="565"/>
      <c r="I12" s="549"/>
      <c r="J12" s="95"/>
      <c r="K12" s="652"/>
      <c r="N12" s="251">
        <f>E14</f>
        <v>637528.49565183884</v>
      </c>
      <c r="R12" s="16">
        <f>'4. SC Quote'!I23</f>
        <v>35000</v>
      </c>
    </row>
    <row r="13" spans="2:19" ht="12.75" customHeight="1" x14ac:dyDescent="0.4">
      <c r="B13" s="36"/>
      <c r="C13" s="72"/>
      <c r="D13" s="550"/>
      <c r="E13" s="98" t="s">
        <v>10</v>
      </c>
      <c r="F13" s="561"/>
      <c r="G13" s="548" t="s">
        <v>54</v>
      </c>
      <c r="H13" s="548"/>
      <c r="I13" s="550"/>
      <c r="J13" s="96"/>
      <c r="K13" s="653"/>
      <c r="N13" s="251">
        <f t="shared" ref="N13:N36" si="0">E15</f>
        <v>117298.82552139397</v>
      </c>
      <c r="P13" s="74"/>
      <c r="R13" s="16">
        <f>MAX(R12-3500,0)</f>
        <v>31500</v>
      </c>
      <c r="S13" s="16">
        <f>R12-R13</f>
        <v>3500</v>
      </c>
    </row>
    <row r="14" spans="2:19" ht="13.15" x14ac:dyDescent="0.4">
      <c r="B14" s="36"/>
      <c r="C14" s="90" t="s">
        <v>11</v>
      </c>
      <c r="D14" s="273">
        <f>SUM(C6+L14)</f>
        <v>-990000.00000000012</v>
      </c>
      <c r="E14" s="275">
        <f>K14+I14+I8+I9+S13</f>
        <v>637528.49565183884</v>
      </c>
      <c r="F14" s="100">
        <f>(-C6-I8)*0.85</f>
        <v>631125.00000000012</v>
      </c>
      <c r="G14" s="85">
        <v>0.2</v>
      </c>
      <c r="H14" s="88">
        <f>SUM(F14*0.2)</f>
        <v>126225.00000000003</v>
      </c>
      <c r="I14" s="106">
        <f>SUM(H14*0.3)</f>
        <v>37867.500000000007</v>
      </c>
      <c r="J14" s="107"/>
      <c r="K14" s="108">
        <f>'3. Pre-Post Solar Costs'!F15</f>
        <v>51660.995651838792</v>
      </c>
      <c r="L14" s="75"/>
      <c r="M14" s="76"/>
      <c r="N14" s="251">
        <f t="shared" si="0"/>
        <v>94393.896159428812</v>
      </c>
      <c r="P14" s="74"/>
      <c r="R14" s="16">
        <f t="shared" ref="R14:R22" si="1">MAX(R13-3500,0)</f>
        <v>28000</v>
      </c>
      <c r="S14" s="16">
        <f t="shared" ref="S14:S22" si="2">R13-R14</f>
        <v>3500</v>
      </c>
    </row>
    <row r="15" spans="2:19" ht="13.15" x14ac:dyDescent="0.4">
      <c r="B15" s="36"/>
      <c r="C15" s="90" t="s">
        <v>12</v>
      </c>
      <c r="D15" s="273">
        <f t="shared" ref="D15:D38" si="3">D14+E14</f>
        <v>-352471.50434816128</v>
      </c>
      <c r="E15" s="275">
        <f>K15+I15+S14</f>
        <v>117298.82552139397</v>
      </c>
      <c r="F15" s="100">
        <f>SUM(F14-H14)</f>
        <v>504900.00000000012</v>
      </c>
      <c r="G15" s="85">
        <v>0.32</v>
      </c>
      <c r="H15" s="89">
        <f>SUM(F14*0.32)</f>
        <v>201960.00000000003</v>
      </c>
      <c r="I15" s="106">
        <f t="shared" ref="I15:I19" si="4">SUM(H15*0.3)</f>
        <v>60588.000000000007</v>
      </c>
      <c r="J15" s="109"/>
      <c r="K15" s="108">
        <f>K14*1.03</f>
        <v>53210.825521393956</v>
      </c>
      <c r="M15" s="27"/>
      <c r="N15" s="251">
        <f t="shared" si="0"/>
        <v>81216.30356341452</v>
      </c>
      <c r="P15" s="75"/>
      <c r="R15" s="16">
        <f t="shared" si="1"/>
        <v>24500</v>
      </c>
      <c r="S15" s="16">
        <f t="shared" si="2"/>
        <v>3500</v>
      </c>
    </row>
    <row r="16" spans="2:19" ht="13.15" x14ac:dyDescent="0.4">
      <c r="B16" s="36"/>
      <c r="C16" s="90" t="s">
        <v>13</v>
      </c>
      <c r="D16" s="273">
        <f t="shared" si="3"/>
        <v>-235172.67882676731</v>
      </c>
      <c r="E16" s="275">
        <f>K16+I16+S15</f>
        <v>94393.896159428812</v>
      </c>
      <c r="F16" s="100">
        <f>SUM(F15-H15)</f>
        <v>302940.00000000012</v>
      </c>
      <c r="G16" s="86">
        <v>0.192</v>
      </c>
      <c r="H16" s="89">
        <f>SUM(F14*0.192)</f>
        <v>121176.00000000003</v>
      </c>
      <c r="I16" s="106">
        <f t="shared" si="4"/>
        <v>36352.80000000001</v>
      </c>
      <c r="J16" s="109"/>
      <c r="K16" s="108">
        <f>K15*1.025</f>
        <v>54541.096159428802</v>
      </c>
      <c r="M16" s="27"/>
      <c r="N16" s="251">
        <f t="shared" si="0"/>
        <v>82613.919152499875</v>
      </c>
      <c r="R16" s="16">
        <f t="shared" si="1"/>
        <v>21000</v>
      </c>
      <c r="S16" s="16">
        <f t="shared" si="2"/>
        <v>3500</v>
      </c>
    </row>
    <row r="17" spans="2:19" ht="13.15" x14ac:dyDescent="0.4">
      <c r="B17" s="36"/>
      <c r="C17" s="90" t="s">
        <v>14</v>
      </c>
      <c r="D17" s="274">
        <f t="shared" si="3"/>
        <v>-140778.7826673385</v>
      </c>
      <c r="E17" s="275">
        <f>K17+I17+S16</f>
        <v>81216.30356341452</v>
      </c>
      <c r="F17" s="100">
        <f>SUM(F16-H16)</f>
        <v>181764.00000000009</v>
      </c>
      <c r="G17" s="86">
        <v>0.1152</v>
      </c>
      <c r="H17" s="89">
        <f>SUM(F14*0.1152)</f>
        <v>72705.600000000006</v>
      </c>
      <c r="I17" s="106">
        <f t="shared" si="4"/>
        <v>21811.68</v>
      </c>
      <c r="J17" s="109"/>
      <c r="K17" s="108">
        <f t="shared" ref="K17:K38" si="5">K16*1.025</f>
        <v>55904.62356341452</v>
      </c>
      <c r="M17" s="27"/>
      <c r="N17" s="251">
        <f t="shared" si="0"/>
        <v>73140.63513131236</v>
      </c>
      <c r="P17" s="78"/>
      <c r="R17" s="16">
        <f t="shared" si="1"/>
        <v>17500</v>
      </c>
      <c r="S17" s="16">
        <f t="shared" si="2"/>
        <v>3500</v>
      </c>
    </row>
    <row r="18" spans="2:19" ht="13.15" x14ac:dyDescent="0.4">
      <c r="B18" s="36"/>
      <c r="C18" s="90" t="s">
        <v>15</v>
      </c>
      <c r="D18" s="274">
        <f t="shared" si="3"/>
        <v>-59562.479103923979</v>
      </c>
      <c r="E18" s="275">
        <f>K18+I18+S17</f>
        <v>82613.919152499875</v>
      </c>
      <c r="F18" s="100">
        <f>SUM(F17-H17)</f>
        <v>109058.40000000008</v>
      </c>
      <c r="G18" s="86">
        <v>0.1152</v>
      </c>
      <c r="H18" s="89">
        <f>SUM(F14*0.1152)</f>
        <v>72705.600000000006</v>
      </c>
      <c r="I18" s="106">
        <f t="shared" si="4"/>
        <v>21811.68</v>
      </c>
      <c r="J18" s="109"/>
      <c r="K18" s="108">
        <f t="shared" si="5"/>
        <v>57302.239152499875</v>
      </c>
      <c r="M18" s="27"/>
      <c r="N18" s="251">
        <f t="shared" si="0"/>
        <v>63703.16500959517</v>
      </c>
      <c r="R18" s="16">
        <f t="shared" si="1"/>
        <v>14000</v>
      </c>
      <c r="S18" s="16">
        <f t="shared" si="2"/>
        <v>3500</v>
      </c>
    </row>
    <row r="19" spans="2:19" ht="13.15" x14ac:dyDescent="0.4">
      <c r="B19" s="36"/>
      <c r="C19" s="90" t="s">
        <v>16</v>
      </c>
      <c r="D19" s="274">
        <f t="shared" si="3"/>
        <v>23051.440048575896</v>
      </c>
      <c r="E19" s="275">
        <f>K19+I19+S18</f>
        <v>73140.63513131236</v>
      </c>
      <c r="F19" s="100">
        <f>SUM(F18-H18)</f>
        <v>36352.800000000076</v>
      </c>
      <c r="G19" s="86">
        <v>5.7599999999999998E-2</v>
      </c>
      <c r="H19" s="89">
        <f>SUM(F14*0.0576)</f>
        <v>36352.800000000003</v>
      </c>
      <c r="I19" s="106">
        <f t="shared" si="4"/>
        <v>10905.84</v>
      </c>
      <c r="J19" s="109"/>
      <c r="K19" s="108">
        <f t="shared" si="5"/>
        <v>58734.795131312363</v>
      </c>
      <c r="M19" s="27"/>
      <c r="N19" s="251">
        <f t="shared" si="0"/>
        <v>65208.24413483504</v>
      </c>
      <c r="R19" s="16">
        <f t="shared" si="1"/>
        <v>10500</v>
      </c>
      <c r="S19" s="16">
        <f t="shared" si="2"/>
        <v>3500</v>
      </c>
    </row>
    <row r="20" spans="2:19" ht="13.15" x14ac:dyDescent="0.4">
      <c r="B20" s="36"/>
      <c r="C20" s="90" t="s">
        <v>17</v>
      </c>
      <c r="D20" s="274">
        <f t="shared" si="3"/>
        <v>96192.075179888256</v>
      </c>
      <c r="E20" s="275">
        <f>K20+S19</f>
        <v>63703.16500959517</v>
      </c>
      <c r="F20" s="75"/>
      <c r="G20" s="75"/>
      <c r="H20" s="27"/>
      <c r="I20" s="27"/>
      <c r="J20" s="36"/>
      <c r="K20" s="87">
        <f t="shared" si="5"/>
        <v>60203.16500959517</v>
      </c>
      <c r="N20" s="251">
        <f t="shared" si="0"/>
        <v>66750.9502382059</v>
      </c>
      <c r="R20" s="16">
        <f t="shared" si="1"/>
        <v>7000</v>
      </c>
      <c r="S20" s="16">
        <f t="shared" si="2"/>
        <v>3500</v>
      </c>
    </row>
    <row r="21" spans="2:19" ht="13.15" x14ac:dyDescent="0.4">
      <c r="B21" s="36"/>
      <c r="C21" s="90" t="s">
        <v>18</v>
      </c>
      <c r="D21" s="274">
        <f t="shared" si="3"/>
        <v>159895.24018948342</v>
      </c>
      <c r="E21" s="275">
        <f>K21+S20</f>
        <v>65208.24413483504</v>
      </c>
      <c r="H21" s="27"/>
      <c r="I21" s="27"/>
      <c r="J21" s="36"/>
      <c r="K21" s="87">
        <f t="shared" si="5"/>
        <v>61708.24413483504</v>
      </c>
      <c r="N21" s="251">
        <f t="shared" si="0"/>
        <v>68332.223994161046</v>
      </c>
      <c r="O21" s="32"/>
      <c r="R21" s="16">
        <f t="shared" si="1"/>
        <v>3500</v>
      </c>
      <c r="S21" s="16">
        <f t="shared" si="2"/>
        <v>3500</v>
      </c>
    </row>
    <row r="22" spans="2:19" ht="13.15" x14ac:dyDescent="0.4">
      <c r="B22" s="36"/>
      <c r="C22" s="90" t="s">
        <v>19</v>
      </c>
      <c r="D22" s="274">
        <f t="shared" si="3"/>
        <v>225103.48432431847</v>
      </c>
      <c r="E22" s="275">
        <f>K22+S21</f>
        <v>66750.9502382059</v>
      </c>
      <c r="F22" s="76"/>
      <c r="G22" s="76"/>
      <c r="H22" s="77"/>
      <c r="I22" s="77"/>
      <c r="J22" s="36"/>
      <c r="K22" s="87">
        <f t="shared" si="5"/>
        <v>63250.950238205907</v>
      </c>
      <c r="N22" s="251">
        <f t="shared" si="0"/>
        <v>66453.029594015068</v>
      </c>
      <c r="R22" s="16">
        <f t="shared" si="1"/>
        <v>0</v>
      </c>
      <c r="S22" s="16">
        <f t="shared" si="2"/>
        <v>3500</v>
      </c>
    </row>
    <row r="23" spans="2:19" ht="13.15" x14ac:dyDescent="0.4">
      <c r="B23" s="36"/>
      <c r="C23" s="90" t="s">
        <v>20</v>
      </c>
      <c r="D23" s="274">
        <f>D22+E22</f>
        <v>291854.43456252437</v>
      </c>
      <c r="E23" s="275">
        <f>K23+S22</f>
        <v>68332.223994161046</v>
      </c>
      <c r="H23" s="38"/>
      <c r="I23" s="38"/>
      <c r="J23" s="38"/>
      <c r="K23" s="87">
        <f t="shared" si="5"/>
        <v>64832.223994161046</v>
      </c>
      <c r="N23" s="251">
        <f t="shared" si="0"/>
        <v>68114.355333865446</v>
      </c>
    </row>
    <row r="24" spans="2:19" ht="13.15" x14ac:dyDescent="0.4">
      <c r="B24" s="36"/>
      <c r="C24" s="90" t="s">
        <v>21</v>
      </c>
      <c r="D24" s="79">
        <f t="shared" si="3"/>
        <v>360186.65855668543</v>
      </c>
      <c r="E24" s="82">
        <f t="shared" ref="E24:E38" si="6">K24</f>
        <v>66453.029594015068</v>
      </c>
      <c r="H24" s="36"/>
      <c r="I24" s="36"/>
      <c r="J24" s="36"/>
      <c r="K24" s="87">
        <f t="shared" si="5"/>
        <v>66453.029594015068</v>
      </c>
      <c r="N24" s="251">
        <f t="shared" si="0"/>
        <v>69817.21421721208</v>
      </c>
    </row>
    <row r="25" spans="2:19" ht="13.15" x14ac:dyDescent="0.4">
      <c r="B25" s="36"/>
      <c r="C25" s="90" t="s">
        <v>22</v>
      </c>
      <c r="D25" s="79">
        <f t="shared" si="3"/>
        <v>426639.68815070053</v>
      </c>
      <c r="E25" s="82">
        <f t="shared" si="6"/>
        <v>68114.355333865446</v>
      </c>
      <c r="H25" s="36"/>
      <c r="I25" s="36"/>
      <c r="J25" s="36"/>
      <c r="K25" s="87">
        <f t="shared" si="5"/>
        <v>68114.355333865446</v>
      </c>
      <c r="N25" s="251">
        <f t="shared" si="0"/>
        <v>71562.64457264237</v>
      </c>
    </row>
    <row r="26" spans="2:19" ht="13.15" x14ac:dyDescent="0.4">
      <c r="B26" s="36"/>
      <c r="C26" s="90" t="s">
        <v>23</v>
      </c>
      <c r="D26" s="79">
        <f t="shared" si="3"/>
        <v>494754.04348456598</v>
      </c>
      <c r="E26" s="82">
        <f t="shared" si="6"/>
        <v>69817.21421721208</v>
      </c>
      <c r="H26" s="36"/>
      <c r="I26" s="36"/>
      <c r="J26" s="36"/>
      <c r="K26" s="87">
        <f t="shared" si="5"/>
        <v>69817.21421721208</v>
      </c>
      <c r="N26" s="251">
        <f t="shared" si="0"/>
        <v>73351.710686958424</v>
      </c>
    </row>
    <row r="27" spans="2:19" ht="13.15" x14ac:dyDescent="0.4">
      <c r="B27" s="36"/>
      <c r="C27" s="90" t="s">
        <v>24</v>
      </c>
      <c r="D27" s="79">
        <f t="shared" si="3"/>
        <v>564571.25770177809</v>
      </c>
      <c r="E27" s="82">
        <f t="shared" si="6"/>
        <v>71562.64457264237</v>
      </c>
      <c r="H27" s="36"/>
      <c r="I27" s="36"/>
      <c r="J27" s="36"/>
      <c r="K27" s="87">
        <f t="shared" si="5"/>
        <v>71562.64457264237</v>
      </c>
      <c r="N27" s="251">
        <f t="shared" si="0"/>
        <v>75185.503454132384</v>
      </c>
    </row>
    <row r="28" spans="2:19" ht="13.15" x14ac:dyDescent="0.4">
      <c r="B28" s="36"/>
      <c r="C28" s="90" t="s">
        <v>25</v>
      </c>
      <c r="D28" s="79">
        <f t="shared" si="3"/>
        <v>636133.90227442048</v>
      </c>
      <c r="E28" s="82">
        <f t="shared" si="6"/>
        <v>73351.710686958424</v>
      </c>
      <c r="H28" s="36"/>
      <c r="I28" s="36"/>
      <c r="J28" s="36"/>
      <c r="K28" s="87">
        <f t="shared" si="5"/>
        <v>73351.710686958424</v>
      </c>
      <c r="N28" s="251">
        <f t="shared" si="0"/>
        <v>77065.141040485687</v>
      </c>
    </row>
    <row r="29" spans="2:19" ht="13.15" x14ac:dyDescent="0.4">
      <c r="B29" s="36"/>
      <c r="C29" s="90" t="s">
        <v>26</v>
      </c>
      <c r="D29" s="79">
        <f t="shared" si="3"/>
        <v>709485.61296137888</v>
      </c>
      <c r="E29" s="82">
        <f t="shared" si="6"/>
        <v>75185.503454132384</v>
      </c>
      <c r="H29" s="36"/>
      <c r="I29" s="36"/>
      <c r="J29" s="36"/>
      <c r="K29" s="87">
        <f t="shared" si="5"/>
        <v>75185.503454132384</v>
      </c>
      <c r="N29" s="251">
        <f t="shared" si="0"/>
        <v>78991.769566497824</v>
      </c>
    </row>
    <row r="30" spans="2:19" ht="13.15" x14ac:dyDescent="0.4">
      <c r="B30" s="36"/>
      <c r="C30" s="90" t="s">
        <v>27</v>
      </c>
      <c r="D30" s="79">
        <f t="shared" si="3"/>
        <v>784671.11641551123</v>
      </c>
      <c r="E30" s="82">
        <f t="shared" si="6"/>
        <v>77065.141040485687</v>
      </c>
      <c r="H30" s="36"/>
      <c r="I30" s="36"/>
      <c r="J30" s="36"/>
      <c r="K30" s="87">
        <f t="shared" si="5"/>
        <v>77065.141040485687</v>
      </c>
      <c r="N30" s="251">
        <f t="shared" si="0"/>
        <v>80966.563805660262</v>
      </c>
    </row>
    <row r="31" spans="2:19" ht="13.15" x14ac:dyDescent="0.4">
      <c r="B31" s="36"/>
      <c r="C31" s="90" t="s">
        <v>28</v>
      </c>
      <c r="D31" s="79">
        <f t="shared" si="3"/>
        <v>861736.25745599694</v>
      </c>
      <c r="E31" s="82">
        <f t="shared" si="6"/>
        <v>78991.769566497824</v>
      </c>
      <c r="H31" s="36"/>
      <c r="I31" s="36"/>
      <c r="J31" s="36"/>
      <c r="K31" s="87">
        <f t="shared" si="5"/>
        <v>78991.769566497824</v>
      </c>
      <c r="N31" s="251">
        <f t="shared" si="0"/>
        <v>82990.727900801765</v>
      </c>
    </row>
    <row r="32" spans="2:19" ht="13.15" x14ac:dyDescent="0.4">
      <c r="B32" s="36"/>
      <c r="C32" s="90" t="s">
        <v>29</v>
      </c>
      <c r="D32" s="79">
        <f t="shared" si="3"/>
        <v>940728.0270224947</v>
      </c>
      <c r="E32" s="82">
        <f t="shared" si="6"/>
        <v>80966.563805660262</v>
      </c>
      <c r="H32" s="36"/>
      <c r="I32" s="36"/>
      <c r="J32" s="36"/>
      <c r="K32" s="87">
        <f t="shared" si="5"/>
        <v>80966.563805660262</v>
      </c>
      <c r="N32" s="251">
        <f t="shared" si="0"/>
        <v>85065.496098321804</v>
      </c>
    </row>
    <row r="33" spans="2:14" ht="13.15" x14ac:dyDescent="0.4">
      <c r="B33" s="36"/>
      <c r="C33" s="90" t="s">
        <v>30</v>
      </c>
      <c r="D33" s="79">
        <f t="shared" si="3"/>
        <v>1021694.5908281549</v>
      </c>
      <c r="E33" s="82">
        <f t="shared" si="6"/>
        <v>82990.727900801765</v>
      </c>
      <c r="H33" s="36"/>
      <c r="I33" s="36"/>
      <c r="J33" s="36"/>
      <c r="K33" s="87">
        <f t="shared" si="5"/>
        <v>82990.727900801765</v>
      </c>
      <c r="N33" s="251">
        <f t="shared" si="0"/>
        <v>87192.133500779848</v>
      </c>
    </row>
    <row r="34" spans="2:14" ht="13.15" x14ac:dyDescent="0.4">
      <c r="B34" s="36"/>
      <c r="C34" s="90" t="s">
        <v>33</v>
      </c>
      <c r="D34" s="80">
        <f t="shared" si="3"/>
        <v>1104685.3187289566</v>
      </c>
      <c r="E34" s="82">
        <f t="shared" si="6"/>
        <v>85065.496098321804</v>
      </c>
      <c r="F34" s="36"/>
      <c r="G34" s="36"/>
      <c r="H34" s="36"/>
      <c r="I34" s="36"/>
      <c r="J34" s="36"/>
      <c r="K34" s="87">
        <f t="shared" si="5"/>
        <v>85065.496098321804</v>
      </c>
      <c r="M34" s="16" t="s">
        <v>47</v>
      </c>
      <c r="N34" s="251">
        <f t="shared" si="0"/>
        <v>89371.936838299342</v>
      </c>
    </row>
    <row r="35" spans="2:14" ht="13.15" x14ac:dyDescent="0.4">
      <c r="B35" s="36"/>
      <c r="C35" s="90" t="s">
        <v>34</v>
      </c>
      <c r="D35" s="80">
        <f t="shared" si="3"/>
        <v>1189750.8148272785</v>
      </c>
      <c r="E35" s="82">
        <f t="shared" si="6"/>
        <v>87192.133500779848</v>
      </c>
      <c r="F35" s="36"/>
      <c r="G35" s="36"/>
      <c r="H35" s="36"/>
      <c r="I35" s="36"/>
      <c r="J35" s="36"/>
      <c r="K35" s="87">
        <f t="shared" si="5"/>
        <v>87192.133500779848</v>
      </c>
      <c r="N35" s="251">
        <f t="shared" si="0"/>
        <v>91606.23525925682</v>
      </c>
    </row>
    <row r="36" spans="2:14" ht="13.5" thickBot="1" x14ac:dyDescent="0.45">
      <c r="B36" s="36"/>
      <c r="C36" s="90" t="s">
        <v>35</v>
      </c>
      <c r="D36" s="80">
        <f t="shared" si="3"/>
        <v>1276942.9483280582</v>
      </c>
      <c r="E36" s="82">
        <f t="shared" si="6"/>
        <v>89371.936838299342</v>
      </c>
      <c r="F36" s="36"/>
      <c r="G36" s="36"/>
      <c r="H36" s="36"/>
      <c r="I36" s="36"/>
      <c r="J36" s="36"/>
      <c r="K36" s="87">
        <f t="shared" si="5"/>
        <v>89371.936838299342</v>
      </c>
      <c r="N36" s="252">
        <f t="shared" si="0"/>
        <v>93896.391140738226</v>
      </c>
    </row>
    <row r="37" spans="2:14" ht="13.5" thickTop="1" thickBot="1" x14ac:dyDescent="0.4">
      <c r="B37" s="36"/>
      <c r="C37" s="90" t="s">
        <v>36</v>
      </c>
      <c r="D37" s="80">
        <f t="shared" si="3"/>
        <v>1366314.8851663575</v>
      </c>
      <c r="E37" s="82">
        <f t="shared" si="6"/>
        <v>91606.23525925682</v>
      </c>
      <c r="F37" s="36"/>
      <c r="G37" s="36"/>
      <c r="H37" s="36"/>
      <c r="I37" s="36"/>
      <c r="J37" s="36"/>
      <c r="K37" s="87">
        <f t="shared" si="5"/>
        <v>91606.23525925682</v>
      </c>
      <c r="N37" s="236"/>
    </row>
    <row r="38" spans="2:14" ht="15.75" thickTop="1" thickBot="1" x14ac:dyDescent="0.45">
      <c r="B38" s="36"/>
      <c r="C38" s="91" t="s">
        <v>37</v>
      </c>
      <c r="D38" s="81">
        <f t="shared" si="3"/>
        <v>1457921.1204256143</v>
      </c>
      <c r="E38" s="83">
        <f t="shared" si="6"/>
        <v>93896.391140738226</v>
      </c>
      <c r="F38" s="36"/>
      <c r="G38" s="36"/>
      <c r="H38" s="36"/>
      <c r="I38" s="36"/>
      <c r="J38" s="36"/>
      <c r="K38" s="102">
        <f t="shared" si="5"/>
        <v>93896.391140738226</v>
      </c>
      <c r="M38" s="247" t="s">
        <v>112</v>
      </c>
      <c r="N38" s="253">
        <f>IRR(N11:N36)</f>
        <v>0.15714228592732193</v>
      </c>
    </row>
    <row r="39" spans="2:14" ht="24" customHeight="1" thickTop="1" x14ac:dyDescent="0.4">
      <c r="J39" s="112" t="s">
        <v>66</v>
      </c>
      <c r="K39" s="111">
        <f>SUM(K14:K38)</f>
        <v>1772980.0115663526</v>
      </c>
    </row>
    <row r="40" spans="2:14" ht="18" customHeight="1" x14ac:dyDescent="0.35">
      <c r="C40" s="876" t="s">
        <v>251</v>
      </c>
      <c r="D40" s="528"/>
      <c r="E40" s="528"/>
      <c r="F40" s="528"/>
      <c r="G40" s="528"/>
      <c r="H40" s="528"/>
      <c r="I40" s="528"/>
      <c r="J40" s="528"/>
      <c r="K40" s="528"/>
    </row>
    <row r="41" spans="2:14" ht="30" customHeight="1" x14ac:dyDescent="0.35">
      <c r="C41" s="528"/>
      <c r="D41" s="528"/>
      <c r="E41" s="528"/>
      <c r="F41" s="528"/>
      <c r="G41" s="528"/>
      <c r="H41" s="528"/>
      <c r="I41" s="528"/>
      <c r="J41" s="528"/>
      <c r="K41" s="528"/>
    </row>
    <row r="42" spans="2:14" x14ac:dyDescent="0.35">
      <c r="C42" s="528"/>
      <c r="D42" s="528"/>
      <c r="E42" s="528"/>
      <c r="F42" s="528"/>
      <c r="G42" s="528"/>
      <c r="H42" s="528"/>
      <c r="I42" s="528"/>
      <c r="J42" s="528"/>
      <c r="K42" s="528"/>
    </row>
  </sheetData>
  <sheetProtection selectLockedCells="1"/>
  <mergeCells count="14">
    <mergeCell ref="G13:H13"/>
    <mergeCell ref="G3:J3"/>
    <mergeCell ref="B1:K1"/>
    <mergeCell ref="C5:E5"/>
    <mergeCell ref="C6:E6"/>
    <mergeCell ref="C8:E10"/>
    <mergeCell ref="D11:D13"/>
    <mergeCell ref="F11:F13"/>
    <mergeCell ref="G11:H11"/>
    <mergeCell ref="K11:K13"/>
    <mergeCell ref="G12:H12"/>
    <mergeCell ref="I12:I13"/>
    <mergeCell ref="G5:H5"/>
    <mergeCell ref="C40:K42"/>
  </mergeCells>
  <printOptions horizontalCentered="1"/>
  <pageMargins left="0.25" right="0.25" top="0.75" bottom="0.75" header="0.3" footer="0.3"/>
  <pageSetup scale="74" orientation="landscape" r:id="rId1"/>
  <headerFooter>
    <oddHeader>&amp;R&amp;"Cambria,Bold"&amp;8
&amp;D</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D015B-6176-4230-9B86-E6BDFF973817}">
  <sheetPr>
    <tabColor rgb="FF7030A0"/>
  </sheetPr>
  <dimension ref="A1:U85"/>
  <sheetViews>
    <sheetView showGridLines="0" topLeftCell="A4" zoomScale="67" zoomScaleNormal="67" zoomScaleSheetLayoutView="55" workbookViewId="0">
      <selection activeCell="N35" sqref="N35"/>
    </sheetView>
  </sheetViews>
  <sheetFormatPr defaultColWidth="9.1328125" defaultRowHeight="12.75" x14ac:dyDescent="0.35"/>
  <cols>
    <col min="1" max="1" width="9.1328125" style="5"/>
    <col min="2" max="2" width="1.265625" style="16" customWidth="1"/>
    <col min="3" max="3" width="17" style="16" customWidth="1"/>
    <col min="4" max="4" width="17.73046875" style="16" customWidth="1"/>
    <col min="5" max="5" width="22.265625" style="16" customWidth="1"/>
    <col min="6" max="6" width="18" style="16" customWidth="1"/>
    <col min="7" max="7" width="13.1328125" style="16" customWidth="1"/>
    <col min="8" max="8" width="15.3984375" style="16" customWidth="1"/>
    <col min="9" max="9" width="17.59765625" style="16" customWidth="1"/>
    <col min="10" max="10" width="18.86328125" style="16" customWidth="1"/>
    <col min="11" max="11" width="24.1328125" style="16" customWidth="1"/>
    <col min="12" max="12" width="17.3984375" style="16" customWidth="1"/>
    <col min="13" max="14" width="15.73046875" style="16" customWidth="1"/>
    <col min="15" max="15" width="18.59765625" style="16" customWidth="1"/>
    <col min="16" max="16" width="21" style="16" customWidth="1"/>
    <col min="17" max="17" width="0.1328125" style="16" customWidth="1"/>
    <col min="18" max="18" width="22.73046875" style="16" bestFit="1" customWidth="1"/>
    <col min="19" max="19" width="16" style="16" customWidth="1"/>
    <col min="20" max="20" width="15.73046875" style="16" customWidth="1"/>
    <col min="21" max="21" width="13" style="16" customWidth="1"/>
    <col min="22" max="16384" width="9.1328125" style="16"/>
  </cols>
  <sheetData>
    <row r="1" spans="2:21" ht="135.4" customHeight="1" thickBot="1" x14ac:dyDescent="0.4"/>
    <row r="2" spans="2:21" ht="24.95" customHeight="1" thickTop="1" x14ac:dyDescent="0.4">
      <c r="B2" s="654"/>
      <c r="C2" s="655"/>
      <c r="D2" s="655"/>
      <c r="E2" s="655"/>
      <c r="F2" s="655"/>
      <c r="G2" s="656"/>
      <c r="H2" s="656"/>
      <c r="I2" s="656"/>
      <c r="J2" s="656"/>
      <c r="K2" s="657"/>
      <c r="O2" s="658" t="s">
        <v>212</v>
      </c>
      <c r="P2" s="659" t="s">
        <v>213</v>
      </c>
      <c r="Q2" s="660"/>
      <c r="R2" s="661" t="s">
        <v>214</v>
      </c>
    </row>
    <row r="3" spans="2:21" ht="49.5" customHeight="1" x14ac:dyDescent="0.7">
      <c r="B3" s="662"/>
      <c r="C3" s="663" t="s">
        <v>215</v>
      </c>
      <c r="D3" s="663"/>
      <c r="E3" s="663"/>
      <c r="F3" s="664"/>
      <c r="G3" s="665"/>
      <c r="H3" s="665"/>
      <c r="I3" s="665"/>
      <c r="J3" s="666"/>
      <c r="K3" s="667"/>
      <c r="O3" s="668">
        <v>5.5E-2</v>
      </c>
      <c r="P3" s="668">
        <v>0</v>
      </c>
      <c r="Q3" s="669"/>
      <c r="R3" s="670">
        <v>66665</v>
      </c>
    </row>
    <row r="4" spans="2:21" ht="19.5" customHeight="1" x14ac:dyDescent="0.65">
      <c r="B4" s="662"/>
      <c r="C4" s="671">
        <f>O3</f>
        <v>5.5E-2</v>
      </c>
      <c r="D4" s="672" t="s">
        <v>216</v>
      </c>
      <c r="E4" s="672"/>
      <c r="F4" s="664"/>
      <c r="G4" s="665"/>
      <c r="H4" s="665"/>
      <c r="I4" s="665"/>
      <c r="J4" s="673"/>
      <c r="K4" s="674"/>
      <c r="O4" s="675"/>
    </row>
    <row r="5" spans="2:21" ht="20.25" customHeight="1" x14ac:dyDescent="0.6">
      <c r="B5" s="676"/>
      <c r="C5" s="677">
        <f>'2. System Sizing'!B7</f>
        <v>450</v>
      </c>
      <c r="D5" s="678" t="s">
        <v>217</v>
      </c>
      <c r="E5" s="678"/>
      <c r="F5" s="119"/>
      <c r="G5" s="119"/>
      <c r="H5" s="119"/>
      <c r="I5" s="119"/>
      <c r="J5" s="119"/>
      <c r="K5" s="679"/>
      <c r="P5" s="680"/>
    </row>
    <row r="6" spans="2:21" ht="27.7" customHeight="1" x14ac:dyDescent="0.6">
      <c r="B6" s="676"/>
      <c r="C6" s="681" t="s">
        <v>218</v>
      </c>
      <c r="D6" s="681"/>
      <c r="E6" s="681"/>
      <c r="F6" s="682" t="s">
        <v>219</v>
      </c>
      <c r="G6" s="682"/>
      <c r="H6" s="682"/>
      <c r="I6" s="683">
        <f>C8*0.3</f>
        <v>297000</v>
      </c>
      <c r="J6" s="684"/>
      <c r="K6" s="685"/>
      <c r="P6" s="686"/>
    </row>
    <row r="7" spans="2:21" ht="27.7" customHeight="1" x14ac:dyDescent="0.6">
      <c r="B7" s="676"/>
      <c r="C7" s="879"/>
      <c r="D7" s="879"/>
      <c r="E7" s="879"/>
      <c r="F7" s="682" t="s">
        <v>248</v>
      </c>
      <c r="G7" s="682"/>
      <c r="H7" s="682"/>
      <c r="I7" s="683">
        <f>MIN(35000,C8*0.25)</f>
        <v>35000</v>
      </c>
      <c r="J7" s="684"/>
      <c r="K7" s="685"/>
      <c r="P7" s="686"/>
    </row>
    <row r="8" spans="2:21" ht="20.65" customHeight="1" x14ac:dyDescent="0.6">
      <c r="B8" s="676"/>
      <c r="C8" s="553">
        <f>'2. System Sizing'!B13</f>
        <v>990000.00000000012</v>
      </c>
      <c r="D8" s="553"/>
      <c r="E8" s="553"/>
      <c r="F8" s="687" t="s">
        <v>220</v>
      </c>
      <c r="G8" s="687"/>
      <c r="H8" s="687"/>
      <c r="I8" s="688">
        <f>R14*0.3</f>
        <v>252450.00000000003</v>
      </c>
      <c r="J8" s="689"/>
      <c r="K8" s="679"/>
    </row>
    <row r="9" spans="2:21" ht="12.75" customHeight="1" thickBot="1" x14ac:dyDescent="0.4">
      <c r="B9" s="690"/>
      <c r="C9" s="691"/>
      <c r="D9" s="691"/>
      <c r="E9" s="691"/>
      <c r="F9" s="692"/>
      <c r="G9" s="692"/>
      <c r="H9" s="692"/>
      <c r="I9" s="693"/>
      <c r="J9" s="694"/>
      <c r="K9" s="695"/>
    </row>
    <row r="10" spans="2:21" ht="12.75" customHeight="1" thickTop="1" x14ac:dyDescent="0.35">
      <c r="B10" s="676"/>
      <c r="C10" s="696" t="s">
        <v>221</v>
      </c>
      <c r="D10" s="696"/>
      <c r="E10" s="697"/>
      <c r="F10" s="698" t="s">
        <v>222</v>
      </c>
      <c r="G10" s="696"/>
      <c r="H10" s="696"/>
      <c r="I10" s="699" t="s">
        <v>223</v>
      </c>
      <c r="J10" s="700"/>
      <c r="K10" s="701"/>
      <c r="L10" s="702"/>
      <c r="M10" s="238"/>
      <c r="N10" s="238"/>
      <c r="O10" s="238"/>
    </row>
    <row r="11" spans="2:21" ht="15.75" customHeight="1" x14ac:dyDescent="0.35">
      <c r="B11" s="676"/>
      <c r="C11" s="703"/>
      <c r="D11" s="703"/>
      <c r="E11" s="704"/>
      <c r="F11" s="705"/>
      <c r="G11" s="703"/>
      <c r="H11" s="703"/>
      <c r="I11" s="706"/>
      <c r="J11" s="558"/>
      <c r="K11" s="707"/>
      <c r="L11" s="702"/>
      <c r="M11" s="238"/>
      <c r="N11" s="238"/>
      <c r="O11" s="238"/>
      <c r="P11" s="549" t="s">
        <v>114</v>
      </c>
      <c r="Q11" s="549"/>
      <c r="R11" s="708" t="s">
        <v>50</v>
      </c>
      <c r="S11" s="709" t="s">
        <v>55</v>
      </c>
      <c r="T11" s="709"/>
      <c r="U11" s="549" t="s">
        <v>224</v>
      </c>
    </row>
    <row r="12" spans="2:21" ht="15.75" hidden="1" customHeight="1" x14ac:dyDescent="0.35">
      <c r="B12" s="676"/>
      <c r="C12" s="710"/>
      <c r="D12" s="119"/>
      <c r="E12" s="711"/>
      <c r="F12" s="676"/>
      <c r="G12" s="119"/>
      <c r="H12" s="119"/>
      <c r="I12" s="706"/>
      <c r="J12" s="558"/>
      <c r="K12" s="707"/>
      <c r="L12" s="702"/>
      <c r="M12" s="238"/>
      <c r="N12" s="238"/>
      <c r="O12" s="238"/>
      <c r="P12" s="549"/>
      <c r="Q12" s="549"/>
      <c r="R12" s="708"/>
      <c r="S12" s="709"/>
      <c r="T12" s="709"/>
      <c r="U12" s="549"/>
    </row>
    <row r="13" spans="2:21" ht="12.75" customHeight="1" thickBot="1" x14ac:dyDescent="0.45">
      <c r="B13" s="676"/>
      <c r="C13" s="549" t="s">
        <v>225</v>
      </c>
      <c r="D13" s="712"/>
      <c r="E13" s="713" t="s">
        <v>226</v>
      </c>
      <c r="F13" s="708" t="s">
        <v>227</v>
      </c>
      <c r="G13" s="549" t="s">
        <v>249</v>
      </c>
      <c r="H13" s="549" t="s">
        <v>228</v>
      </c>
      <c r="I13" s="676"/>
      <c r="J13" s="549" t="s">
        <v>229</v>
      </c>
      <c r="K13" s="714" t="s">
        <v>230</v>
      </c>
      <c r="L13" s="715"/>
      <c r="M13" s="716"/>
      <c r="N13" s="716"/>
      <c r="O13" s="716"/>
      <c r="P13" s="717"/>
      <c r="Q13" s="717"/>
      <c r="R13" s="718"/>
      <c r="S13" s="719"/>
      <c r="T13" s="719"/>
      <c r="U13" s="720"/>
    </row>
    <row r="14" spans="2:21" ht="15.4" customHeight="1" thickTop="1" x14ac:dyDescent="0.4">
      <c r="B14" s="676"/>
      <c r="C14" s="549"/>
      <c r="D14" s="721">
        <f>P3</f>
        <v>0</v>
      </c>
      <c r="E14" s="713"/>
      <c r="F14" s="708"/>
      <c r="G14" s="549"/>
      <c r="H14" s="549"/>
      <c r="I14" s="676"/>
      <c r="J14" s="549"/>
      <c r="K14" s="714" t="s">
        <v>231</v>
      </c>
      <c r="L14" s="715"/>
      <c r="M14" s="238"/>
      <c r="N14" s="238"/>
      <c r="O14" s="238"/>
      <c r="P14" s="722">
        <f>D16*-1</f>
        <v>0</v>
      </c>
      <c r="Q14" s="723"/>
      <c r="R14" s="126">
        <f>SUM(-C8*0.85)*-1</f>
        <v>841500.00000000012</v>
      </c>
      <c r="S14" s="724">
        <v>0.2</v>
      </c>
      <c r="T14" s="128">
        <f>SUM(R14*0.2)</f>
        <v>168300.00000000003</v>
      </c>
      <c r="U14" s="174">
        <f t="shared" ref="U14:U19" si="0">SUM(T14*0.45)</f>
        <v>75735.000000000015</v>
      </c>
    </row>
    <row r="15" spans="2:21" ht="18.399999999999999" customHeight="1" thickBot="1" x14ac:dyDescent="0.45">
      <c r="B15" s="676"/>
      <c r="C15" s="549"/>
      <c r="D15" s="454" t="s">
        <v>213</v>
      </c>
      <c r="E15" s="713"/>
      <c r="F15" s="708"/>
      <c r="G15" s="721">
        <f>O3</f>
        <v>5.5E-2</v>
      </c>
      <c r="H15" s="549"/>
      <c r="I15" s="676"/>
      <c r="J15" s="549"/>
      <c r="K15" s="714" t="s">
        <v>232</v>
      </c>
      <c r="L15" s="715"/>
      <c r="M15" s="238"/>
      <c r="N15" s="238"/>
      <c r="O15" s="238"/>
      <c r="P15" s="725">
        <f>K16</f>
        <v>344329.68133548711</v>
      </c>
      <c r="Q15" s="726"/>
      <c r="R15" s="126">
        <f>SUM(R14-T14)</f>
        <v>673200.00000000012</v>
      </c>
      <c r="S15" s="724">
        <v>0.32</v>
      </c>
      <c r="T15" s="131">
        <f>SUM(R14*0.32)</f>
        <v>269280.00000000006</v>
      </c>
      <c r="U15" s="174">
        <f t="shared" si="0"/>
        <v>121176.00000000003</v>
      </c>
    </row>
    <row r="16" spans="2:21" ht="15.4" thickTop="1" x14ac:dyDescent="0.4">
      <c r="B16" s="727"/>
      <c r="C16" s="728">
        <f>I6+I7+I8</f>
        <v>584450</v>
      </c>
      <c r="D16" s="729">
        <f>C8*P3</f>
        <v>0</v>
      </c>
      <c r="E16" s="730">
        <f>C16-D16</f>
        <v>584450</v>
      </c>
      <c r="F16" s="731">
        <f>'[1]3. Pre-Post Solar Costs'!F15</f>
        <v>34759.68133548709</v>
      </c>
      <c r="G16" s="732">
        <f>R3</f>
        <v>66665</v>
      </c>
      <c r="H16" s="733">
        <f>F16-G16</f>
        <v>-31905.31866451291</v>
      </c>
      <c r="I16" s="734" t="s">
        <v>11</v>
      </c>
      <c r="J16" s="735">
        <f>D16*-1</f>
        <v>0</v>
      </c>
      <c r="K16" s="736">
        <f>I6+U14+H16+E59</f>
        <v>344329.68133548711</v>
      </c>
      <c r="L16" s="737"/>
      <c r="M16" s="135"/>
      <c r="N16" s="135"/>
      <c r="O16" s="135"/>
      <c r="P16" s="725">
        <f t="shared" ref="P16:P39" si="1">K17</f>
        <v>96246.649469035823</v>
      </c>
      <c r="Q16" s="726"/>
      <c r="R16" s="126">
        <f>SUM(R15-T15)</f>
        <v>403920.00000000006</v>
      </c>
      <c r="S16" s="738">
        <v>0.192</v>
      </c>
      <c r="T16" s="131">
        <f>SUM(R14*0.192)</f>
        <v>161568.00000000003</v>
      </c>
      <c r="U16" s="174">
        <f t="shared" si="0"/>
        <v>72705.60000000002</v>
      </c>
    </row>
    <row r="17" spans="2:21" ht="13.15" x14ac:dyDescent="0.4">
      <c r="B17" s="676"/>
      <c r="C17" s="739"/>
      <c r="D17" s="739"/>
      <c r="E17" s="679"/>
      <c r="F17" s="740">
        <f>F16*1.1</f>
        <v>38235.649469035801</v>
      </c>
      <c r="G17" s="741">
        <f>R3</f>
        <v>66665</v>
      </c>
      <c r="H17" s="742">
        <f t="shared" ref="H17:H40" si="2">F17-G17</f>
        <v>-28429.350530964199</v>
      </c>
      <c r="I17" s="743" t="s">
        <v>12</v>
      </c>
      <c r="J17" s="744">
        <f t="shared" ref="J17:J40" si="3">J16+K16</f>
        <v>344329.68133548711</v>
      </c>
      <c r="K17" s="745">
        <f>U15+H17+E60</f>
        <v>96246.649469035823</v>
      </c>
      <c r="L17" s="746"/>
      <c r="M17" s="119"/>
      <c r="N17" s="119"/>
      <c r="O17" s="119"/>
      <c r="P17" s="725">
        <f t="shared" si="1"/>
        <v>51599.814415939407</v>
      </c>
      <c r="Q17" s="726"/>
      <c r="R17" s="126">
        <f>SUM(R16-T16)</f>
        <v>242352.00000000003</v>
      </c>
      <c r="S17" s="738">
        <v>0.1152</v>
      </c>
      <c r="T17" s="131">
        <f>SUM(R14*0.1152)</f>
        <v>96940.800000000017</v>
      </c>
      <c r="U17" s="174">
        <f t="shared" si="0"/>
        <v>43623.360000000008</v>
      </c>
    </row>
    <row r="18" spans="2:21" ht="13.15" customHeight="1" x14ac:dyDescent="0.4">
      <c r="B18" s="676"/>
      <c r="C18" s="747" t="s">
        <v>233</v>
      </c>
      <c r="D18" s="747"/>
      <c r="E18" s="748"/>
      <c r="F18" s="740">
        <f>F17*1.1</f>
        <v>42059.214415939387</v>
      </c>
      <c r="G18" s="741">
        <f>R3</f>
        <v>66665</v>
      </c>
      <c r="H18" s="742">
        <f t="shared" si="2"/>
        <v>-24605.785584060613</v>
      </c>
      <c r="I18" s="743" t="s">
        <v>13</v>
      </c>
      <c r="J18" s="744">
        <f t="shared" si="3"/>
        <v>440576.33080452296</v>
      </c>
      <c r="K18" s="745">
        <f>U16+H18+E61</f>
        <v>51599.814415939407</v>
      </c>
      <c r="L18" s="746"/>
      <c r="M18" s="119"/>
      <c r="N18" s="119"/>
      <c r="O18" s="119"/>
      <c r="P18" s="725">
        <f t="shared" si="1"/>
        <v>21015.38710069652</v>
      </c>
      <c r="Q18" s="726"/>
      <c r="R18" s="126">
        <f>SUM(R17-T17)</f>
        <v>145411.20000000001</v>
      </c>
      <c r="S18" s="738">
        <v>0.1152</v>
      </c>
      <c r="T18" s="131">
        <f>SUM(R14*0.1152)</f>
        <v>96940.800000000017</v>
      </c>
      <c r="U18" s="174">
        <f t="shared" si="0"/>
        <v>43623.360000000008</v>
      </c>
    </row>
    <row r="19" spans="2:21" ht="13.15" customHeight="1" x14ac:dyDescent="0.4">
      <c r="B19" s="676"/>
      <c r="C19" s="747"/>
      <c r="D19" s="747"/>
      <c r="E19" s="748"/>
      <c r="F19" s="740">
        <f t="shared" ref="F19:F40" si="4">F18*1.0475</f>
        <v>44057.027100696512</v>
      </c>
      <c r="G19" s="741">
        <f>R3</f>
        <v>66665</v>
      </c>
      <c r="H19" s="742">
        <f t="shared" si="2"/>
        <v>-22607.972899303488</v>
      </c>
      <c r="I19" s="743" t="s">
        <v>14</v>
      </c>
      <c r="J19" s="744">
        <f t="shared" si="3"/>
        <v>492176.14522046235</v>
      </c>
      <c r="K19" s="745">
        <f t="shared" ref="K19:K21" si="5">U17+H19</f>
        <v>21015.38710069652</v>
      </c>
      <c r="L19" s="746"/>
      <c r="M19" s="119"/>
      <c r="N19" s="119"/>
      <c r="O19" s="119"/>
      <c r="P19" s="725">
        <f t="shared" si="1"/>
        <v>26608.095887979609</v>
      </c>
      <c r="Q19" s="726"/>
      <c r="R19" s="749">
        <f>SUM(R18-T18)</f>
        <v>48470.399999999994</v>
      </c>
      <c r="S19" s="750">
        <v>5.7599999999999998E-2</v>
      </c>
      <c r="T19" s="751">
        <f>SUM(R14*0.0576)</f>
        <v>48470.400000000009</v>
      </c>
      <c r="U19" s="752">
        <f t="shared" si="0"/>
        <v>21811.680000000004</v>
      </c>
    </row>
    <row r="20" spans="2:21" ht="13.15" customHeight="1" x14ac:dyDescent="0.4">
      <c r="B20" s="676"/>
      <c r="C20" s="747"/>
      <c r="D20" s="747"/>
      <c r="E20" s="748"/>
      <c r="F20" s="740">
        <f t="shared" si="4"/>
        <v>46149.735887979601</v>
      </c>
      <c r="G20" s="741">
        <f>R3</f>
        <v>66665</v>
      </c>
      <c r="H20" s="742">
        <f t="shared" si="2"/>
        <v>-20515.264112020399</v>
      </c>
      <c r="I20" s="743" t="s">
        <v>15</v>
      </c>
      <c r="J20" s="744">
        <f t="shared" si="3"/>
        <v>513191.53232115885</v>
      </c>
      <c r="K20" s="745">
        <f>U18+H20+E62</f>
        <v>26608.095887979609</v>
      </c>
      <c r="L20" s="746"/>
      <c r="M20" s="119"/>
      <c r="N20" s="119"/>
      <c r="O20" s="119"/>
      <c r="P20" s="725">
        <f t="shared" si="1"/>
        <v>6988.5283426586429</v>
      </c>
      <c r="Q20" s="726"/>
      <c r="S20" s="753"/>
      <c r="U20" s="236">
        <f>U14+U15+U16+U17+U18+U19</f>
        <v>378675.00000000006</v>
      </c>
    </row>
    <row r="21" spans="2:21" ht="13.15" customHeight="1" x14ac:dyDescent="0.4">
      <c r="B21" s="676"/>
      <c r="C21" s="747"/>
      <c r="D21" s="747"/>
      <c r="E21" s="748"/>
      <c r="F21" s="740">
        <f t="shared" si="4"/>
        <v>48341.848342658639</v>
      </c>
      <c r="G21" s="741">
        <f>R3</f>
        <v>66665</v>
      </c>
      <c r="H21" s="742">
        <f t="shared" si="2"/>
        <v>-18323.151657341361</v>
      </c>
      <c r="I21" s="743" t="s">
        <v>16</v>
      </c>
      <c r="J21" s="744">
        <f t="shared" si="3"/>
        <v>539799.62820913852</v>
      </c>
      <c r="K21" s="745">
        <f>U19+H21+E63</f>
        <v>6988.5283426586429</v>
      </c>
      <c r="L21" s="746"/>
      <c r="M21" s="119"/>
      <c r="N21" s="119"/>
      <c r="O21" s="119"/>
      <c r="P21" s="725">
        <f t="shared" si="1"/>
        <v>-12526.91386106507</v>
      </c>
      <c r="Q21" s="726"/>
      <c r="S21" s="753"/>
    </row>
    <row r="22" spans="2:21" ht="13.15" customHeight="1" x14ac:dyDescent="0.4">
      <c r="B22" s="676"/>
      <c r="C22" s="747"/>
      <c r="D22" s="747"/>
      <c r="E22" s="748"/>
      <c r="F22" s="740">
        <f t="shared" si="4"/>
        <v>50638.08613893493</v>
      </c>
      <c r="G22" s="741">
        <f>R3</f>
        <v>66665</v>
      </c>
      <c r="H22" s="742">
        <f t="shared" si="2"/>
        <v>-16026.91386106507</v>
      </c>
      <c r="I22" s="743" t="s">
        <v>17</v>
      </c>
      <c r="J22" s="744">
        <f t="shared" si="3"/>
        <v>546788.15655179718</v>
      </c>
      <c r="K22" s="745">
        <f>H22+E64</f>
        <v>-12526.91386106507</v>
      </c>
      <c r="L22" s="746"/>
      <c r="M22" s="238"/>
      <c r="N22" s="238"/>
      <c r="O22" s="238"/>
      <c r="P22" s="725">
        <f t="shared" si="1"/>
        <v>-10121.604769465659</v>
      </c>
      <c r="Q22" s="726"/>
      <c r="S22" s="753"/>
    </row>
    <row r="23" spans="2:21" ht="13.15" customHeight="1" x14ac:dyDescent="0.4">
      <c r="B23" s="676"/>
      <c r="C23" s="747"/>
      <c r="D23" s="747"/>
      <c r="E23" s="748"/>
      <c r="F23" s="740">
        <f t="shared" si="4"/>
        <v>53043.395230534341</v>
      </c>
      <c r="G23" s="741">
        <f>R3</f>
        <v>66665</v>
      </c>
      <c r="H23" s="739">
        <f t="shared" si="2"/>
        <v>-13621.604769465659</v>
      </c>
      <c r="I23" s="743" t="s">
        <v>18</v>
      </c>
      <c r="J23" s="744">
        <f t="shared" si="3"/>
        <v>534261.24269073212</v>
      </c>
      <c r="K23" s="745">
        <f>H23+E65</f>
        <v>-10121.604769465659</v>
      </c>
      <c r="L23" s="746"/>
      <c r="M23" s="238"/>
      <c r="N23" s="238"/>
      <c r="O23" s="238"/>
      <c r="P23" s="725">
        <f t="shared" si="1"/>
        <v>-7602.0434960152706</v>
      </c>
      <c r="Q23" s="754"/>
      <c r="S23" s="753"/>
    </row>
    <row r="24" spans="2:21" ht="13.15" customHeight="1" x14ac:dyDescent="0.4">
      <c r="B24" s="676"/>
      <c r="C24" s="747"/>
      <c r="D24" s="747"/>
      <c r="E24" s="748"/>
      <c r="F24" s="740">
        <f t="shared" si="4"/>
        <v>55562.956503984729</v>
      </c>
      <c r="G24" s="741">
        <f>R3</f>
        <v>66665</v>
      </c>
      <c r="H24" s="739">
        <f t="shared" si="2"/>
        <v>-11102.043496015271</v>
      </c>
      <c r="I24" s="743" t="s">
        <v>19</v>
      </c>
      <c r="J24" s="744">
        <f t="shared" si="3"/>
        <v>524139.63792126649</v>
      </c>
      <c r="K24" s="745">
        <f>H24+E66</f>
        <v>-7602.0434960152706</v>
      </c>
      <c r="L24" s="746"/>
      <c r="M24" s="238"/>
      <c r="N24" s="238"/>
      <c r="O24" s="238"/>
      <c r="P24" s="725">
        <f t="shared" si="1"/>
        <v>-4962.8030620759891</v>
      </c>
      <c r="Q24" s="726"/>
      <c r="S24" s="753"/>
    </row>
    <row r="25" spans="2:21" ht="13.15" customHeight="1" x14ac:dyDescent="0.4">
      <c r="B25" s="676"/>
      <c r="C25" s="747"/>
      <c r="D25" s="747"/>
      <c r="E25" s="748"/>
      <c r="F25" s="740">
        <f t="shared" si="4"/>
        <v>58202.196937924011</v>
      </c>
      <c r="G25" s="741">
        <f>R3</f>
        <v>66665</v>
      </c>
      <c r="H25" s="739">
        <f t="shared" si="2"/>
        <v>-8462.8030620759891</v>
      </c>
      <c r="I25" s="743" t="s">
        <v>20</v>
      </c>
      <c r="J25" s="744">
        <f t="shared" si="3"/>
        <v>516537.59442525124</v>
      </c>
      <c r="K25" s="745">
        <f>H25+E67</f>
        <v>-4962.8030620759891</v>
      </c>
      <c r="L25" s="746"/>
      <c r="M25" s="238"/>
      <c r="N25" s="238"/>
      <c r="O25" s="238"/>
      <c r="P25" s="725">
        <f t="shared" si="1"/>
        <v>-5698.1987075245925</v>
      </c>
      <c r="Q25" s="726"/>
      <c r="S25" s="753"/>
    </row>
    <row r="26" spans="2:21" ht="13.15" customHeight="1" x14ac:dyDescent="0.4">
      <c r="B26" s="676"/>
      <c r="C26" s="739"/>
      <c r="D26" s="739"/>
      <c r="E26" s="679"/>
      <c r="F26" s="740">
        <f t="shared" si="4"/>
        <v>60966.801292475408</v>
      </c>
      <c r="G26" s="741">
        <f>R3</f>
        <v>66665</v>
      </c>
      <c r="H26" s="739">
        <f t="shared" si="2"/>
        <v>-5698.1987075245925</v>
      </c>
      <c r="I26" s="743" t="s">
        <v>21</v>
      </c>
      <c r="J26" s="744">
        <f t="shared" si="3"/>
        <v>511574.79136317526</v>
      </c>
      <c r="K26" s="745">
        <f t="shared" ref="K23:K40" si="6">H26</f>
        <v>-5698.1987075245925</v>
      </c>
      <c r="L26" s="746"/>
      <c r="M26" s="238"/>
      <c r="N26" s="238"/>
      <c r="O26" s="238"/>
      <c r="P26" s="725">
        <f t="shared" si="1"/>
        <v>-2802.2756461320023</v>
      </c>
      <c r="Q26" s="726"/>
      <c r="S26" s="753"/>
    </row>
    <row r="27" spans="2:21" ht="13.15" customHeight="1" x14ac:dyDescent="0.4">
      <c r="B27" s="676"/>
      <c r="C27" s="739"/>
      <c r="D27" s="739"/>
      <c r="E27" s="679"/>
      <c r="F27" s="740">
        <f t="shared" si="4"/>
        <v>63862.724353867998</v>
      </c>
      <c r="G27" s="741">
        <f>R3</f>
        <v>66665</v>
      </c>
      <c r="H27" s="739">
        <f t="shared" si="2"/>
        <v>-2802.2756461320023</v>
      </c>
      <c r="I27" s="743" t="s">
        <v>22</v>
      </c>
      <c r="J27" s="744">
        <f t="shared" si="3"/>
        <v>505876.59265565069</v>
      </c>
      <c r="K27" s="745">
        <f t="shared" si="6"/>
        <v>-2802.2756461320023</v>
      </c>
      <c r="L27" s="746"/>
      <c r="M27" s="238"/>
      <c r="N27" s="238"/>
      <c r="O27" s="238"/>
      <c r="P27" s="725">
        <f t="shared" si="1"/>
        <v>231.20376067674079</v>
      </c>
      <c r="Q27" s="726"/>
      <c r="S27" s="753"/>
    </row>
    <row r="28" spans="2:21" ht="13.15" x14ac:dyDescent="0.4">
      <c r="B28" s="676"/>
      <c r="C28" s="739"/>
      <c r="D28" s="739"/>
      <c r="E28" s="679"/>
      <c r="F28" s="740">
        <f t="shared" si="4"/>
        <v>66896.203760676741</v>
      </c>
      <c r="G28" s="741">
        <f>R3</f>
        <v>66665</v>
      </c>
      <c r="H28" s="739">
        <f t="shared" si="2"/>
        <v>231.20376067674079</v>
      </c>
      <c r="I28" s="743" t="s">
        <v>23</v>
      </c>
      <c r="J28" s="755">
        <f t="shared" si="3"/>
        <v>503074.31700951868</v>
      </c>
      <c r="K28" s="745">
        <f t="shared" si="6"/>
        <v>231.20376067674079</v>
      </c>
      <c r="L28" s="746"/>
      <c r="M28" s="238"/>
      <c r="N28" s="238"/>
      <c r="O28" s="238"/>
      <c r="P28" s="725">
        <f t="shared" si="1"/>
        <v>3408.7734393088904</v>
      </c>
      <c r="Q28" s="726"/>
      <c r="S28" s="753"/>
    </row>
    <row r="29" spans="2:21" ht="13.15" customHeight="1" x14ac:dyDescent="0.4">
      <c r="B29" s="676"/>
      <c r="C29" s="756" t="s">
        <v>234</v>
      </c>
      <c r="D29" s="756"/>
      <c r="E29" s="757"/>
      <c r="F29" s="740">
        <f t="shared" si="4"/>
        <v>70073.77343930889</v>
      </c>
      <c r="G29" s="741">
        <f>R3</f>
        <v>66665</v>
      </c>
      <c r="H29" s="739">
        <f t="shared" si="2"/>
        <v>3408.7734393088904</v>
      </c>
      <c r="I29" s="743" t="s">
        <v>24</v>
      </c>
      <c r="J29" s="755">
        <f t="shared" si="3"/>
        <v>503305.52077019541</v>
      </c>
      <c r="K29" s="745">
        <f t="shared" si="6"/>
        <v>3408.7734393088904</v>
      </c>
      <c r="L29" s="746"/>
      <c r="M29" s="238"/>
      <c r="N29" s="238"/>
      <c r="O29" s="238"/>
      <c r="P29" s="725">
        <f t="shared" si="1"/>
        <v>6737.2776776760729</v>
      </c>
      <c r="Q29" s="726"/>
      <c r="S29" s="753"/>
    </row>
    <row r="30" spans="2:21" ht="13.15" customHeight="1" x14ac:dyDescent="0.4">
      <c r="B30" s="676"/>
      <c r="C30" s="756"/>
      <c r="D30" s="756"/>
      <c r="E30" s="757"/>
      <c r="F30" s="740">
        <f t="shared" si="4"/>
        <v>73402.277677676073</v>
      </c>
      <c r="G30" s="741">
        <f>R3</f>
        <v>66665</v>
      </c>
      <c r="H30" s="739">
        <f t="shared" si="2"/>
        <v>6737.2776776760729</v>
      </c>
      <c r="I30" s="743" t="s">
        <v>25</v>
      </c>
      <c r="J30" s="755">
        <f t="shared" si="3"/>
        <v>506714.29420950427</v>
      </c>
      <c r="K30" s="745">
        <f t="shared" si="6"/>
        <v>6737.2776776760729</v>
      </c>
      <c r="L30" s="746"/>
      <c r="M30" s="238"/>
      <c r="N30" s="238"/>
      <c r="O30" s="238"/>
      <c r="P30" s="725">
        <f t="shared" si="1"/>
        <v>76888.885867365694</v>
      </c>
      <c r="Q30" s="726"/>
      <c r="S30" s="753"/>
    </row>
    <row r="31" spans="2:21" ht="13.15" customHeight="1" x14ac:dyDescent="0.4">
      <c r="B31" s="676"/>
      <c r="C31" s="756"/>
      <c r="D31" s="756"/>
      <c r="E31" s="757"/>
      <c r="F31" s="740">
        <f t="shared" si="4"/>
        <v>76888.885867365694</v>
      </c>
      <c r="G31" s="741"/>
      <c r="H31" s="739">
        <f t="shared" si="2"/>
        <v>76888.885867365694</v>
      </c>
      <c r="I31" s="743" t="s">
        <v>26</v>
      </c>
      <c r="J31" s="755">
        <f t="shared" si="3"/>
        <v>513451.57188718033</v>
      </c>
      <c r="K31" s="745">
        <f t="shared" si="6"/>
        <v>76888.885867365694</v>
      </c>
      <c r="L31" s="746"/>
      <c r="M31" s="238"/>
      <c r="N31" s="238"/>
      <c r="O31" s="238"/>
      <c r="P31" s="725">
        <f t="shared" si="1"/>
        <v>80541.107946065575</v>
      </c>
      <c r="Q31" s="726"/>
      <c r="S31" s="753"/>
    </row>
    <row r="32" spans="2:21" ht="13.15" customHeight="1" x14ac:dyDescent="0.4">
      <c r="B32" s="676"/>
      <c r="C32" s="756"/>
      <c r="D32" s="756"/>
      <c r="E32" s="757"/>
      <c r="F32" s="740">
        <f t="shared" si="4"/>
        <v>80541.107946065575</v>
      </c>
      <c r="G32" s="741"/>
      <c r="H32" s="739">
        <f t="shared" si="2"/>
        <v>80541.107946065575</v>
      </c>
      <c r="I32" s="743" t="s">
        <v>27</v>
      </c>
      <c r="J32" s="755">
        <f t="shared" si="3"/>
        <v>590340.45775454608</v>
      </c>
      <c r="K32" s="745">
        <f t="shared" si="6"/>
        <v>80541.107946065575</v>
      </c>
      <c r="L32" s="746"/>
      <c r="M32" s="238"/>
      <c r="N32" s="238"/>
      <c r="O32" s="238"/>
      <c r="P32" s="725">
        <f t="shared" si="1"/>
        <v>84366.810573503695</v>
      </c>
      <c r="Q32" s="726"/>
      <c r="S32" s="753"/>
    </row>
    <row r="33" spans="2:19" ht="13.15" customHeight="1" x14ac:dyDescent="0.4">
      <c r="B33" s="676"/>
      <c r="C33" s="756"/>
      <c r="D33" s="756"/>
      <c r="E33" s="757"/>
      <c r="F33" s="740">
        <f t="shared" si="4"/>
        <v>84366.810573503695</v>
      </c>
      <c r="G33" s="741"/>
      <c r="H33" s="739">
        <f t="shared" si="2"/>
        <v>84366.810573503695</v>
      </c>
      <c r="I33" s="743" t="s">
        <v>28</v>
      </c>
      <c r="J33" s="755">
        <f t="shared" si="3"/>
        <v>670881.56570061168</v>
      </c>
      <c r="K33" s="745">
        <f t="shared" si="6"/>
        <v>84366.810573503695</v>
      </c>
      <c r="L33" s="746"/>
      <c r="M33" s="238"/>
      <c r="N33" s="238"/>
      <c r="O33" s="238"/>
      <c r="P33" s="725">
        <f t="shared" si="1"/>
        <v>88374.234075745131</v>
      </c>
      <c r="Q33" s="726"/>
      <c r="S33" s="753"/>
    </row>
    <row r="34" spans="2:19" ht="13.15" customHeight="1" x14ac:dyDescent="0.4">
      <c r="B34" s="676"/>
      <c r="C34" s="756"/>
      <c r="D34" s="756"/>
      <c r="E34" s="757"/>
      <c r="F34" s="740">
        <f t="shared" si="4"/>
        <v>88374.234075745131</v>
      </c>
      <c r="G34" s="741"/>
      <c r="H34" s="739">
        <f t="shared" si="2"/>
        <v>88374.234075745131</v>
      </c>
      <c r="I34" s="743" t="s">
        <v>29</v>
      </c>
      <c r="J34" s="755">
        <f t="shared" si="3"/>
        <v>755248.37627411541</v>
      </c>
      <c r="K34" s="745">
        <f t="shared" si="6"/>
        <v>88374.234075745131</v>
      </c>
      <c r="L34" s="746"/>
      <c r="M34" s="238"/>
      <c r="N34" s="238"/>
      <c r="O34" s="238"/>
      <c r="P34" s="725">
        <f t="shared" si="1"/>
        <v>92572.010194343035</v>
      </c>
      <c r="Q34" s="726"/>
      <c r="S34" s="753"/>
    </row>
    <row r="35" spans="2:19" ht="13.15" customHeight="1" x14ac:dyDescent="0.4">
      <c r="B35" s="676"/>
      <c r="C35" s="756"/>
      <c r="D35" s="756"/>
      <c r="E35" s="757"/>
      <c r="F35" s="740">
        <f t="shared" si="4"/>
        <v>92572.010194343035</v>
      </c>
      <c r="G35" s="741"/>
      <c r="H35" s="739">
        <f t="shared" si="2"/>
        <v>92572.010194343035</v>
      </c>
      <c r="I35" s="743" t="s">
        <v>30</v>
      </c>
      <c r="J35" s="755">
        <f t="shared" si="3"/>
        <v>843622.61034986051</v>
      </c>
      <c r="K35" s="745">
        <f t="shared" si="6"/>
        <v>92572.010194343035</v>
      </c>
      <c r="L35" s="746"/>
      <c r="M35" s="238"/>
      <c r="N35" s="238"/>
      <c r="O35" s="238"/>
      <c r="P35" s="725">
        <f t="shared" si="1"/>
        <v>96969.180678574339</v>
      </c>
      <c r="Q35" s="726"/>
      <c r="S35" s="753"/>
    </row>
    <row r="36" spans="2:19" ht="13.15" customHeight="1" x14ac:dyDescent="0.4">
      <c r="B36" s="676"/>
      <c r="C36" s="756"/>
      <c r="D36" s="756"/>
      <c r="E36" s="757"/>
      <c r="F36" s="740">
        <f t="shared" si="4"/>
        <v>96969.180678574339</v>
      </c>
      <c r="G36" s="741"/>
      <c r="H36" s="739">
        <f t="shared" si="2"/>
        <v>96969.180678574339</v>
      </c>
      <c r="I36" s="743" t="s">
        <v>33</v>
      </c>
      <c r="J36" s="755">
        <f t="shared" si="3"/>
        <v>936194.62054420356</v>
      </c>
      <c r="K36" s="745">
        <f t="shared" si="6"/>
        <v>96969.180678574339</v>
      </c>
      <c r="L36" s="746"/>
      <c r="M36" s="238" t="s">
        <v>47</v>
      </c>
      <c r="N36" s="238"/>
      <c r="O36" s="238"/>
      <c r="P36" s="725">
        <f t="shared" si="1"/>
        <v>101575.21676080662</v>
      </c>
      <c r="Q36" s="726"/>
      <c r="S36" s="753"/>
    </row>
    <row r="37" spans="2:19" ht="13.15" customHeight="1" x14ac:dyDescent="0.4">
      <c r="B37" s="676"/>
      <c r="C37" s="756"/>
      <c r="D37" s="756"/>
      <c r="E37" s="757"/>
      <c r="F37" s="740">
        <f t="shared" si="4"/>
        <v>101575.21676080662</v>
      </c>
      <c r="G37" s="741"/>
      <c r="H37" s="739">
        <f t="shared" si="2"/>
        <v>101575.21676080662</v>
      </c>
      <c r="I37" s="743" t="s">
        <v>34</v>
      </c>
      <c r="J37" s="755">
        <f t="shared" si="3"/>
        <v>1033163.8012227779</v>
      </c>
      <c r="K37" s="745">
        <f t="shared" si="6"/>
        <v>101575.21676080662</v>
      </c>
      <c r="L37" s="746"/>
      <c r="M37" s="238"/>
      <c r="N37" s="238"/>
      <c r="O37" s="238"/>
      <c r="P37" s="725">
        <f t="shared" si="1"/>
        <v>106400.03955694495</v>
      </c>
      <c r="Q37" s="726"/>
      <c r="S37" s="753"/>
    </row>
    <row r="38" spans="2:19" ht="13.15" customHeight="1" x14ac:dyDescent="0.4">
      <c r="B38" s="676"/>
      <c r="C38" s="756"/>
      <c r="D38" s="756"/>
      <c r="E38" s="757"/>
      <c r="F38" s="740">
        <f t="shared" si="4"/>
        <v>106400.03955694495</v>
      </c>
      <c r="G38" s="741"/>
      <c r="H38" s="739">
        <f t="shared" si="2"/>
        <v>106400.03955694495</v>
      </c>
      <c r="I38" s="743" t="s">
        <v>35</v>
      </c>
      <c r="J38" s="755">
        <f t="shared" si="3"/>
        <v>1134739.0179835847</v>
      </c>
      <c r="K38" s="745">
        <f t="shared" si="6"/>
        <v>106400.03955694495</v>
      </c>
      <c r="L38" s="746"/>
      <c r="M38" s="238"/>
      <c r="N38" s="238"/>
      <c r="O38" s="238"/>
      <c r="P38" s="725">
        <f t="shared" si="1"/>
        <v>111454.04143589984</v>
      </c>
      <c r="Q38" s="726"/>
      <c r="S38" s="753"/>
    </row>
    <row r="39" spans="2:19" ht="13.5" customHeight="1" thickBot="1" x14ac:dyDescent="0.45">
      <c r="B39" s="676"/>
      <c r="C39" s="739"/>
      <c r="D39" s="739"/>
      <c r="E39" s="679"/>
      <c r="F39" s="740">
        <f t="shared" si="4"/>
        <v>111454.04143589984</v>
      </c>
      <c r="G39" s="741"/>
      <c r="H39" s="739">
        <f t="shared" si="2"/>
        <v>111454.04143589984</v>
      </c>
      <c r="I39" s="743" t="s">
        <v>36</v>
      </c>
      <c r="J39" s="755">
        <f t="shared" si="3"/>
        <v>1241139.0575405296</v>
      </c>
      <c r="K39" s="745">
        <f t="shared" si="6"/>
        <v>111454.04143589984</v>
      </c>
      <c r="L39" s="746"/>
      <c r="M39" s="238"/>
      <c r="N39" s="238"/>
      <c r="O39" s="238"/>
      <c r="P39" s="758">
        <f t="shared" si="1"/>
        <v>116748.10840410509</v>
      </c>
      <c r="Q39" s="239"/>
      <c r="S39" s="753"/>
    </row>
    <row r="40" spans="2:19" ht="13.9" customHeight="1" thickTop="1" thickBot="1" x14ac:dyDescent="0.45">
      <c r="B40" s="690"/>
      <c r="C40" s="759"/>
      <c r="D40" s="759"/>
      <c r="E40" s="695"/>
      <c r="F40" s="740">
        <f t="shared" si="4"/>
        <v>116748.10840410509</v>
      </c>
      <c r="G40" s="760"/>
      <c r="H40" s="759">
        <f t="shared" si="2"/>
        <v>116748.10840410509</v>
      </c>
      <c r="I40" s="743" t="s">
        <v>37</v>
      </c>
      <c r="J40" s="755">
        <f t="shared" si="3"/>
        <v>1352593.0989764296</v>
      </c>
      <c r="K40" s="745">
        <f t="shared" si="6"/>
        <v>116748.10840410509</v>
      </c>
      <c r="L40" s="746"/>
      <c r="M40" s="238"/>
      <c r="N40" s="238"/>
      <c r="O40" s="238"/>
      <c r="P40" s="236"/>
      <c r="S40" s="238"/>
    </row>
    <row r="41" spans="2:19" ht="13.5" customHeight="1" thickTop="1" x14ac:dyDescent="0.35">
      <c r="B41" s="727"/>
      <c r="C41" s="761" t="s">
        <v>225</v>
      </c>
      <c r="D41" s="762">
        <f>P3</f>
        <v>0</v>
      </c>
      <c r="E41" s="763" t="s">
        <v>235</v>
      </c>
      <c r="F41" s="764" t="s">
        <v>66</v>
      </c>
      <c r="G41" s="764" t="s">
        <v>236</v>
      </c>
      <c r="H41" s="765" t="s">
        <v>235</v>
      </c>
      <c r="I41" s="766" t="s">
        <v>237</v>
      </c>
      <c r="J41" s="767"/>
      <c r="K41" s="768"/>
      <c r="P41" s="236"/>
      <c r="S41" s="238"/>
    </row>
    <row r="42" spans="2:19" ht="13.5" customHeight="1" x14ac:dyDescent="0.35">
      <c r="B42" s="676"/>
      <c r="C42" s="769"/>
      <c r="D42" s="770" t="s">
        <v>213</v>
      </c>
      <c r="E42" s="713"/>
      <c r="F42" s="549"/>
      <c r="G42" s="549"/>
      <c r="H42" s="747"/>
      <c r="I42" s="771"/>
      <c r="J42" s="772"/>
      <c r="K42" s="773"/>
      <c r="P42" s="236"/>
      <c r="S42" s="238"/>
    </row>
    <row r="43" spans="2:19" ht="13.5" customHeight="1" x14ac:dyDescent="0.35">
      <c r="B43" s="676"/>
      <c r="C43" s="769"/>
      <c r="D43" s="95"/>
      <c r="E43" s="713"/>
      <c r="F43" s="774">
        <f>SUM(F16:F40)</f>
        <v>1762141.2073805341</v>
      </c>
      <c r="G43" s="775">
        <f>SUM(G16:G40)</f>
        <v>999975</v>
      </c>
      <c r="H43" s="774">
        <f>SUM(H16:H40)</f>
        <v>762166.20738053403</v>
      </c>
      <c r="I43" s="776">
        <f>J40+K40</f>
        <v>1469341.2073805346</v>
      </c>
      <c r="J43" s="777"/>
      <c r="K43" s="778"/>
      <c r="P43" s="236"/>
      <c r="S43" s="238"/>
    </row>
    <row r="44" spans="2:19" ht="22.15" customHeight="1" thickBot="1" x14ac:dyDescent="0.75">
      <c r="B44" s="690"/>
      <c r="C44" s="779">
        <f>C16</f>
        <v>584450</v>
      </c>
      <c r="D44" s="780">
        <f>D16</f>
        <v>0</v>
      </c>
      <c r="E44" s="781">
        <f>E16</f>
        <v>584450</v>
      </c>
      <c r="F44" s="782"/>
      <c r="G44" s="783"/>
      <c r="H44" s="782"/>
      <c r="I44" s="784"/>
      <c r="J44" s="785"/>
      <c r="K44" s="786"/>
      <c r="M44" s="787"/>
      <c r="N44" s="787"/>
      <c r="O44" s="787"/>
      <c r="P44" s="788" t="e">
        <f>IRR(P14:P39)</f>
        <v>#NUM!</v>
      </c>
      <c r="S44" s="789"/>
    </row>
    <row r="45" spans="2:19" ht="18" customHeight="1" thickTop="1" x14ac:dyDescent="0.35">
      <c r="B45" s="884" t="s">
        <v>251</v>
      </c>
      <c r="C45" s="884"/>
      <c r="D45" s="884"/>
      <c r="E45" s="884"/>
      <c r="F45" s="884"/>
      <c r="G45" s="884"/>
      <c r="H45" s="884"/>
      <c r="I45" s="884"/>
      <c r="J45" s="884"/>
      <c r="K45" s="884"/>
      <c r="S45" s="238"/>
    </row>
    <row r="46" spans="2:19" ht="87" customHeight="1" x14ac:dyDescent="0.35">
      <c r="B46" s="885"/>
      <c r="C46" s="885"/>
      <c r="D46" s="885"/>
      <c r="E46" s="885"/>
      <c r="F46" s="885"/>
      <c r="G46" s="885"/>
      <c r="H46" s="885"/>
      <c r="I46" s="885"/>
      <c r="J46" s="885"/>
      <c r="K46" s="885"/>
      <c r="O46" s="280"/>
      <c r="P46" s="280"/>
      <c r="Q46" s="280"/>
    </row>
    <row r="47" spans="2:19" x14ac:dyDescent="0.35">
      <c r="I47" s="238"/>
      <c r="J47" s="238"/>
      <c r="K47" s="238"/>
      <c r="L47" s="238"/>
      <c r="M47" s="238"/>
      <c r="N47" s="238"/>
      <c r="O47" s="280"/>
      <c r="P47" s="280"/>
      <c r="Q47" s="280"/>
      <c r="R47" s="238"/>
    </row>
    <row r="48" spans="2:19" x14ac:dyDescent="0.35">
      <c r="I48" s="790"/>
      <c r="J48" s="790"/>
      <c r="K48" s="790"/>
      <c r="L48" s="238"/>
      <c r="M48" s="238"/>
      <c r="N48" s="238"/>
      <c r="O48" s="280"/>
      <c r="P48" s="280"/>
      <c r="Q48" s="280"/>
      <c r="R48" s="238"/>
    </row>
    <row r="49" spans="4:18" ht="13.15" customHeight="1" x14ac:dyDescent="0.35">
      <c r="I49" s="790"/>
      <c r="J49" s="790"/>
      <c r="K49" s="790"/>
      <c r="L49" s="238"/>
      <c r="M49" s="238"/>
      <c r="N49" s="238"/>
      <c r="O49" s="280"/>
      <c r="P49" s="280"/>
      <c r="Q49" s="280"/>
      <c r="R49" s="238"/>
    </row>
    <row r="50" spans="4:18" ht="16.5" customHeight="1" x14ac:dyDescent="0.35">
      <c r="I50" s="119"/>
      <c r="J50" s="119"/>
      <c r="K50" s="791"/>
      <c r="L50" s="238"/>
      <c r="M50" s="238"/>
      <c r="N50" s="238"/>
      <c r="O50" s="280"/>
      <c r="P50" s="280"/>
      <c r="Q50" s="280"/>
      <c r="R50" s="238"/>
    </row>
    <row r="51" spans="4:18" ht="12.75" customHeight="1" x14ac:dyDescent="0.35">
      <c r="I51" s="549"/>
      <c r="J51" s="549"/>
      <c r="K51" s="769"/>
      <c r="L51" s="238"/>
      <c r="M51" s="238"/>
      <c r="N51" s="238"/>
      <c r="O51" s="280"/>
      <c r="P51" s="280"/>
      <c r="Q51" s="280"/>
      <c r="R51" s="238"/>
    </row>
    <row r="52" spans="4:18" ht="12.75" customHeight="1" x14ac:dyDescent="0.35">
      <c r="I52" s="549"/>
      <c r="J52" s="549"/>
      <c r="K52" s="769"/>
      <c r="L52" s="238"/>
      <c r="M52" s="238"/>
      <c r="N52" s="238"/>
      <c r="O52" s="280"/>
      <c r="P52" s="280"/>
      <c r="Q52" s="280"/>
      <c r="R52" s="238"/>
    </row>
    <row r="53" spans="4:18" ht="13.15" customHeight="1" x14ac:dyDescent="0.35">
      <c r="I53" s="549"/>
      <c r="J53" s="549"/>
      <c r="K53" s="769"/>
      <c r="L53" s="238"/>
      <c r="M53" s="238"/>
      <c r="N53" s="238"/>
      <c r="O53" s="280"/>
      <c r="P53" s="280"/>
      <c r="Q53" s="280"/>
      <c r="R53" s="238"/>
    </row>
    <row r="54" spans="4:18" ht="15" x14ac:dyDescent="0.4">
      <c r="I54" s="792"/>
      <c r="J54" s="793"/>
      <c r="K54" s="794"/>
      <c r="L54" s="238"/>
      <c r="M54" s="238"/>
      <c r="N54" s="238"/>
      <c r="O54" s="280"/>
      <c r="P54" s="280"/>
      <c r="Q54" s="280"/>
      <c r="R54" s="238"/>
    </row>
    <row r="55" spans="4:18" ht="13.15" x14ac:dyDescent="0.4">
      <c r="I55" s="739"/>
      <c r="J55" s="739"/>
      <c r="K55" s="119"/>
      <c r="L55" s="238"/>
      <c r="M55" s="238"/>
      <c r="N55" s="238"/>
      <c r="O55" s="280"/>
      <c r="P55" s="280"/>
      <c r="Q55" s="280"/>
      <c r="R55" s="238"/>
    </row>
    <row r="56" spans="4:18" x14ac:dyDescent="0.35">
      <c r="D56" s="16" t="s">
        <v>193</v>
      </c>
      <c r="I56" s="747"/>
      <c r="J56" s="747"/>
      <c r="K56" s="747"/>
      <c r="L56" s="238"/>
      <c r="M56" s="238"/>
      <c r="N56" s="238"/>
      <c r="O56" s="280"/>
      <c r="P56" s="280"/>
      <c r="Q56" s="280"/>
      <c r="R56" s="238"/>
    </row>
    <row r="57" spans="4:18" x14ac:dyDescent="0.35">
      <c r="I57" s="747"/>
      <c r="J57" s="747"/>
      <c r="K57" s="747"/>
      <c r="L57" s="238"/>
      <c r="M57" s="238"/>
      <c r="N57" s="238"/>
      <c r="O57" s="280"/>
      <c r="P57" s="280"/>
      <c r="Q57" s="280"/>
      <c r="R57" s="238"/>
    </row>
    <row r="58" spans="4:18" x14ac:dyDescent="0.35">
      <c r="D58" s="21">
        <f>I7</f>
        <v>35000</v>
      </c>
      <c r="I58" s="747"/>
      <c r="J58" s="747"/>
      <c r="K58" s="747"/>
      <c r="L58" s="238"/>
      <c r="M58" s="238"/>
      <c r="N58" s="238"/>
      <c r="O58" s="280"/>
      <c r="P58" s="280"/>
      <c r="Q58" s="280"/>
      <c r="R58" s="238"/>
    </row>
    <row r="59" spans="4:18" x14ac:dyDescent="0.35">
      <c r="D59" s="16">
        <f>MAX(D58-3500,0)</f>
        <v>31500</v>
      </c>
      <c r="E59" s="16">
        <f>D58-D59</f>
        <v>3500</v>
      </c>
      <c r="I59" s="747"/>
      <c r="J59" s="747"/>
      <c r="K59" s="747"/>
      <c r="L59" s="238"/>
      <c r="M59" s="238"/>
      <c r="N59" s="238"/>
      <c r="O59" s="280"/>
      <c r="P59" s="280"/>
      <c r="Q59" s="280"/>
      <c r="R59" s="238"/>
    </row>
    <row r="60" spans="4:18" x14ac:dyDescent="0.35">
      <c r="D60" s="16">
        <f>MAX(D59-3500,0)</f>
        <v>28000</v>
      </c>
      <c r="E60" s="16">
        <f>D59-D60</f>
        <v>3500</v>
      </c>
      <c r="I60" s="747"/>
      <c r="J60" s="747"/>
      <c r="K60" s="747"/>
      <c r="L60" s="238"/>
      <c r="M60" s="238"/>
      <c r="N60" s="238"/>
      <c r="O60" s="280"/>
      <c r="P60" s="280"/>
      <c r="Q60" s="280"/>
      <c r="R60" s="238"/>
    </row>
    <row r="61" spans="4:18" x14ac:dyDescent="0.35">
      <c r="D61" s="16">
        <f>MAX(D60-3500,0)</f>
        <v>24500</v>
      </c>
      <c r="E61" s="16">
        <f>D60-D61</f>
        <v>3500</v>
      </c>
      <c r="I61" s="747"/>
      <c r="J61" s="747"/>
      <c r="K61" s="747"/>
      <c r="L61" s="238"/>
      <c r="M61" s="238"/>
      <c r="N61" s="238"/>
      <c r="O61" s="280"/>
      <c r="P61" s="280"/>
      <c r="Q61" s="280"/>
      <c r="R61" s="238"/>
    </row>
    <row r="62" spans="4:18" ht="13.15" x14ac:dyDescent="0.4">
      <c r="D62" s="16">
        <f>MAX(D61-3500,0)</f>
        <v>21000</v>
      </c>
      <c r="E62" s="16">
        <f>D61-D62</f>
        <v>3500</v>
      </c>
      <c r="I62" s="747"/>
      <c r="J62" s="747"/>
      <c r="K62" s="747"/>
      <c r="L62" s="238"/>
      <c r="M62" s="238"/>
      <c r="N62" s="238"/>
      <c r="O62" s="739"/>
      <c r="P62" s="741"/>
      <c r="Q62" s="739"/>
      <c r="R62" s="238"/>
    </row>
    <row r="63" spans="4:18" ht="13.15" x14ac:dyDescent="0.4">
      <c r="D63" s="16">
        <f>MAX(D62-3500,0)</f>
        <v>17500</v>
      </c>
      <c r="E63" s="16">
        <f>D62-D63</f>
        <v>3500</v>
      </c>
      <c r="I63" s="747"/>
      <c r="J63" s="747"/>
      <c r="K63" s="747"/>
      <c r="L63" s="238"/>
      <c r="M63" s="238"/>
      <c r="N63" s="238"/>
      <c r="O63" s="739"/>
      <c r="P63" s="741"/>
      <c r="Q63" s="739"/>
      <c r="R63" s="238"/>
    </row>
    <row r="64" spans="4:18" ht="13.15" x14ac:dyDescent="0.4">
      <c r="D64" s="16">
        <f>MAX(D63-3500,0)</f>
        <v>14000</v>
      </c>
      <c r="E64" s="16">
        <f>D63-D64</f>
        <v>3500</v>
      </c>
      <c r="I64" s="739"/>
      <c r="J64" s="739"/>
      <c r="K64" s="119"/>
      <c r="L64" s="238"/>
      <c r="M64" s="238"/>
      <c r="N64" s="238"/>
      <c r="O64" s="739"/>
      <c r="P64" s="741"/>
      <c r="Q64" s="739"/>
      <c r="R64" s="238"/>
    </row>
    <row r="65" spans="4:18" ht="13.15" x14ac:dyDescent="0.4">
      <c r="D65" s="16">
        <f>MAX(D64-3500,0)</f>
        <v>10500</v>
      </c>
      <c r="E65" s="16">
        <f>D64-D65</f>
        <v>3500</v>
      </c>
      <c r="I65" s="739"/>
      <c r="J65" s="739"/>
      <c r="K65" s="119"/>
      <c r="L65" s="238"/>
      <c r="M65" s="238"/>
      <c r="N65" s="238"/>
      <c r="O65" s="739"/>
      <c r="P65" s="741"/>
      <c r="Q65" s="739"/>
      <c r="R65" s="238"/>
    </row>
    <row r="66" spans="4:18" ht="13.15" x14ac:dyDescent="0.4">
      <c r="D66" s="16">
        <f>MAX(D65-3500,0)</f>
        <v>7000</v>
      </c>
      <c r="E66" s="16">
        <f>D65-D66</f>
        <v>3500</v>
      </c>
      <c r="I66" s="739"/>
      <c r="J66" s="739"/>
      <c r="K66" s="119"/>
      <c r="L66" s="238"/>
      <c r="M66" s="238"/>
      <c r="N66" s="238"/>
      <c r="O66" s="739"/>
      <c r="P66" s="741"/>
      <c r="Q66" s="739"/>
      <c r="R66" s="238"/>
    </row>
    <row r="67" spans="4:18" ht="13.15" x14ac:dyDescent="0.4">
      <c r="D67" s="16">
        <f>MAX(D66-3500,0)</f>
        <v>3500</v>
      </c>
      <c r="E67" s="16">
        <f>D66-D67</f>
        <v>3500</v>
      </c>
      <c r="I67" s="756"/>
      <c r="J67" s="756"/>
      <c r="K67" s="756"/>
      <c r="L67" s="238"/>
      <c r="M67" s="238"/>
      <c r="N67" s="238"/>
      <c r="O67" s="739"/>
      <c r="P67" s="741"/>
      <c r="Q67" s="739"/>
      <c r="R67" s="238"/>
    </row>
    <row r="68" spans="4:18" ht="13.15" x14ac:dyDescent="0.4">
      <c r="D68" s="16">
        <f t="shared" ref="D68" si="7">MAX(D67-3500,0)</f>
        <v>0</v>
      </c>
      <c r="E68" s="16">
        <f t="shared" ref="E68" si="8">D67-D68</f>
        <v>3500</v>
      </c>
      <c r="I68" s="756"/>
      <c r="J68" s="756"/>
      <c r="K68" s="756"/>
      <c r="L68" s="238"/>
      <c r="M68" s="238"/>
      <c r="N68" s="238"/>
      <c r="O68" s="739"/>
      <c r="P68" s="741"/>
      <c r="Q68" s="739"/>
      <c r="R68" s="238"/>
    </row>
    <row r="69" spans="4:18" ht="13.15" x14ac:dyDescent="0.4">
      <c r="I69" s="756"/>
      <c r="J69" s="756"/>
      <c r="K69" s="756"/>
      <c r="L69" s="238"/>
      <c r="M69" s="238"/>
      <c r="N69" s="238"/>
      <c r="O69" s="739"/>
      <c r="P69" s="741"/>
      <c r="Q69" s="739"/>
      <c r="R69" s="238"/>
    </row>
    <row r="70" spans="4:18" ht="13.15" x14ac:dyDescent="0.4">
      <c r="I70" s="756"/>
      <c r="J70" s="756"/>
      <c r="K70" s="756"/>
      <c r="L70" s="238"/>
      <c r="M70" s="238"/>
      <c r="N70" s="238"/>
      <c r="O70" s="739"/>
      <c r="P70" s="741"/>
      <c r="Q70" s="739"/>
      <c r="R70" s="238"/>
    </row>
    <row r="71" spans="4:18" ht="13.15" x14ac:dyDescent="0.4">
      <c r="I71" s="756"/>
      <c r="J71" s="756"/>
      <c r="K71" s="756"/>
      <c r="L71" s="238"/>
      <c r="M71" s="238"/>
      <c r="N71" s="238"/>
      <c r="O71" s="739"/>
      <c r="P71" s="741"/>
      <c r="Q71" s="739"/>
      <c r="R71" s="238"/>
    </row>
    <row r="72" spans="4:18" ht="13.15" x14ac:dyDescent="0.4">
      <c r="I72" s="756"/>
      <c r="J72" s="756"/>
      <c r="K72" s="756"/>
      <c r="L72" s="238"/>
      <c r="M72" s="238"/>
      <c r="N72" s="238"/>
      <c r="O72" s="739"/>
      <c r="P72" s="741"/>
      <c r="Q72" s="739"/>
      <c r="R72" s="238"/>
    </row>
    <row r="73" spans="4:18" ht="13.15" x14ac:dyDescent="0.4">
      <c r="I73" s="756"/>
      <c r="J73" s="756"/>
      <c r="K73" s="756"/>
      <c r="L73" s="238"/>
      <c r="M73" s="238"/>
      <c r="N73" s="238"/>
      <c r="O73" s="739"/>
      <c r="P73" s="741"/>
      <c r="Q73" s="739"/>
      <c r="R73" s="238"/>
    </row>
    <row r="74" spans="4:18" ht="13.15" x14ac:dyDescent="0.4">
      <c r="I74" s="756"/>
      <c r="J74" s="756"/>
      <c r="K74" s="756"/>
      <c r="L74" s="238"/>
      <c r="M74" s="238"/>
      <c r="N74" s="238"/>
      <c r="O74" s="739"/>
      <c r="P74" s="741"/>
      <c r="Q74" s="739"/>
      <c r="R74" s="238"/>
    </row>
    <row r="75" spans="4:18" ht="13.15" x14ac:dyDescent="0.4">
      <c r="I75" s="756"/>
      <c r="J75" s="756"/>
      <c r="K75" s="756"/>
      <c r="L75" s="238"/>
      <c r="M75" s="238"/>
      <c r="N75" s="238"/>
      <c r="O75" s="739"/>
      <c r="P75" s="741"/>
      <c r="Q75" s="739"/>
      <c r="R75" s="238"/>
    </row>
    <row r="76" spans="4:18" ht="13.15" x14ac:dyDescent="0.4">
      <c r="I76" s="756"/>
      <c r="J76" s="756"/>
      <c r="K76" s="756"/>
      <c r="L76" s="238"/>
      <c r="M76" s="238"/>
      <c r="N76" s="238"/>
      <c r="O76" s="739"/>
      <c r="P76" s="741"/>
      <c r="Q76" s="739"/>
      <c r="R76" s="238"/>
    </row>
    <row r="77" spans="4:18" ht="13.15" x14ac:dyDescent="0.4">
      <c r="I77" s="739"/>
      <c r="J77" s="739"/>
      <c r="K77" s="119"/>
      <c r="L77" s="238"/>
      <c r="M77" s="238"/>
      <c r="N77" s="238"/>
      <c r="O77" s="739"/>
      <c r="P77" s="741"/>
      <c r="Q77" s="739"/>
      <c r="R77" s="238"/>
    </row>
    <row r="78" spans="4:18" ht="13.15" x14ac:dyDescent="0.4">
      <c r="I78" s="739"/>
      <c r="J78" s="739"/>
      <c r="K78" s="119"/>
      <c r="L78" s="238"/>
      <c r="M78" s="238"/>
      <c r="N78" s="238"/>
      <c r="O78" s="739"/>
      <c r="P78" s="741"/>
      <c r="Q78" s="739"/>
      <c r="R78" s="238"/>
    </row>
    <row r="79" spans="4:18" ht="13.15" x14ac:dyDescent="0.4">
      <c r="I79" s="549"/>
      <c r="J79" s="795"/>
      <c r="K79" s="795"/>
      <c r="L79" s="238"/>
      <c r="M79" s="238"/>
      <c r="N79" s="238"/>
      <c r="O79" s="739"/>
      <c r="P79" s="741"/>
      <c r="Q79" s="739"/>
      <c r="R79" s="238"/>
    </row>
    <row r="80" spans="4:18" ht="13.15" customHeight="1" x14ac:dyDescent="0.35">
      <c r="I80" s="549"/>
      <c r="J80" s="795"/>
      <c r="K80" s="795"/>
      <c r="L80" s="238"/>
      <c r="M80" s="238"/>
      <c r="N80" s="238"/>
      <c r="O80" s="549"/>
      <c r="P80" s="549"/>
      <c r="Q80" s="747"/>
      <c r="R80" s="238"/>
    </row>
    <row r="81" spans="9:18" ht="12.75" customHeight="1" x14ac:dyDescent="0.35">
      <c r="I81" s="549"/>
      <c r="J81" s="795"/>
      <c r="K81" s="795"/>
      <c r="L81" s="238"/>
      <c r="M81" s="238"/>
      <c r="N81" s="238"/>
      <c r="O81" s="549"/>
      <c r="P81" s="549"/>
      <c r="Q81" s="747"/>
      <c r="R81" s="238"/>
    </row>
    <row r="82" spans="9:18" ht="13.9" x14ac:dyDescent="0.35">
      <c r="I82" s="796"/>
      <c r="J82" s="797"/>
      <c r="K82" s="798"/>
      <c r="L82" s="238"/>
      <c r="M82" s="238"/>
      <c r="N82" s="238"/>
      <c r="O82" s="774"/>
      <c r="P82" s="775"/>
      <c r="Q82" s="774"/>
      <c r="R82" s="238"/>
    </row>
    <row r="83" spans="9:18" ht="13.5" customHeight="1" x14ac:dyDescent="0.35">
      <c r="I83" s="238"/>
      <c r="J83" s="238"/>
      <c r="K83" s="238"/>
      <c r="L83" s="238"/>
      <c r="M83" s="238"/>
      <c r="N83" s="238"/>
      <c r="O83" s="774"/>
      <c r="P83" s="775"/>
      <c r="Q83" s="774"/>
      <c r="R83" s="238"/>
    </row>
    <row r="84" spans="9:18" x14ac:dyDescent="0.35">
      <c r="I84" s="238"/>
      <c r="J84" s="238"/>
      <c r="K84" s="238"/>
      <c r="L84" s="238"/>
      <c r="M84" s="238"/>
      <c r="N84" s="238"/>
      <c r="O84" s="238"/>
      <c r="P84" s="238"/>
      <c r="Q84" s="238"/>
      <c r="R84" s="238"/>
    </row>
    <row r="85" spans="9:18" x14ac:dyDescent="0.35">
      <c r="I85" s="238"/>
      <c r="J85" s="238"/>
      <c r="K85" s="238"/>
      <c r="L85" s="238"/>
      <c r="M85" s="238"/>
      <c r="N85" s="238"/>
      <c r="O85" s="238"/>
      <c r="P85" s="238"/>
      <c r="Q85" s="238"/>
      <c r="R85" s="238"/>
    </row>
  </sheetData>
  <sheetProtection selectLockedCells="1"/>
  <mergeCells count="54">
    <mergeCell ref="P80:P81"/>
    <mergeCell ref="Q80:Q81"/>
    <mergeCell ref="O82:O83"/>
    <mergeCell ref="P82:P83"/>
    <mergeCell ref="Q82:Q83"/>
    <mergeCell ref="F7:H7"/>
    <mergeCell ref="I56:K63"/>
    <mergeCell ref="I67:K76"/>
    <mergeCell ref="I79:I81"/>
    <mergeCell ref="J79:J81"/>
    <mergeCell ref="K79:K81"/>
    <mergeCell ref="O80:O81"/>
    <mergeCell ref="B45:K46"/>
    <mergeCell ref="I48:K49"/>
    <mergeCell ref="I51:I53"/>
    <mergeCell ref="J51:J53"/>
    <mergeCell ref="K51:K53"/>
    <mergeCell ref="H41:H42"/>
    <mergeCell ref="I41:K42"/>
    <mergeCell ref="F43:F44"/>
    <mergeCell ref="G43:G44"/>
    <mergeCell ref="H43:H44"/>
    <mergeCell ref="I43:K44"/>
    <mergeCell ref="C18:E25"/>
    <mergeCell ref="C29:E38"/>
    <mergeCell ref="C41:C43"/>
    <mergeCell ref="E41:E43"/>
    <mergeCell ref="F41:F42"/>
    <mergeCell ref="G41:G42"/>
    <mergeCell ref="U11:U13"/>
    <mergeCell ref="C13:C15"/>
    <mergeCell ref="E13:E15"/>
    <mergeCell ref="F13:F15"/>
    <mergeCell ref="G13:G14"/>
    <mergeCell ref="H13:H15"/>
    <mergeCell ref="J13:J15"/>
    <mergeCell ref="C10:E11"/>
    <mergeCell ref="F10:H11"/>
    <mergeCell ref="I10:K12"/>
    <mergeCell ref="P11:Q13"/>
    <mergeCell ref="R11:R13"/>
    <mergeCell ref="S11:T13"/>
    <mergeCell ref="D5:E5"/>
    <mergeCell ref="C6:E6"/>
    <mergeCell ref="F6:H6"/>
    <mergeCell ref="C8:E8"/>
    <mergeCell ref="F8:H9"/>
    <mergeCell ref="I8:I9"/>
    <mergeCell ref="B2:F2"/>
    <mergeCell ref="C3:E3"/>
    <mergeCell ref="G3:I4"/>
    <mergeCell ref="J3:K3"/>
    <mergeCell ref="D4:E4"/>
    <mergeCell ref="J4:K4"/>
  </mergeCells>
  <printOptions horizontalCentered="1"/>
  <pageMargins left="0.25" right="0.25" top="0.75" bottom="0.75" header="0.3" footer="0.3"/>
  <pageSetup scale="66" orientation="landscape" r:id="rId1"/>
  <headerFooter>
    <oddHeader>&amp;R&amp;"Cambria,Bold"&amp;8
&amp;D</oddHeader>
    <oddFooter>&amp;C&amp;"Arial,Bold"229 West General Screven Way, Suite N1, Hinesville, GA 31313      912.332.1109     855.811.0313     www.coastalsolar.com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autoPageBreaks="0"/>
  </sheetPr>
  <dimension ref="A1:P17"/>
  <sheetViews>
    <sheetView zoomScale="53" zoomScaleNormal="53" zoomScalePageLayoutView="85" workbookViewId="0">
      <selection activeCell="B7" sqref="B7"/>
    </sheetView>
  </sheetViews>
  <sheetFormatPr defaultColWidth="8.86328125" defaultRowHeight="22.15" x14ac:dyDescent="0.55000000000000004"/>
  <cols>
    <col min="1" max="1" width="81.1328125" style="3" customWidth="1"/>
    <col min="2" max="2" width="26" style="2" customWidth="1"/>
    <col min="3" max="3" width="26.86328125" customWidth="1"/>
    <col min="4" max="4" width="10.73046875" bestFit="1" customWidth="1"/>
    <col min="5" max="5" width="5.59765625" customWidth="1"/>
  </cols>
  <sheetData>
    <row r="1" spans="1:16" ht="67.5" customHeight="1" thickTop="1" thickBot="1" x14ac:dyDescent="0.4">
      <c r="A1" s="497" t="s">
        <v>103</v>
      </c>
      <c r="B1" s="498"/>
      <c r="C1" s="216"/>
      <c r="F1" s="486" t="s">
        <v>205</v>
      </c>
      <c r="G1" s="487"/>
      <c r="H1" s="487"/>
      <c r="I1" s="487"/>
      <c r="J1" s="487"/>
      <c r="K1" s="487"/>
      <c r="L1" s="487"/>
      <c r="M1" s="487"/>
      <c r="N1" s="487"/>
      <c r="O1" s="487"/>
      <c r="P1" s="488"/>
    </row>
    <row r="2" spans="1:16" ht="38.25" customHeight="1" thickTop="1" x14ac:dyDescent="0.35">
      <c r="A2" s="219" t="s">
        <v>98</v>
      </c>
      <c r="B2" s="217">
        <f>'1. ANNUAL USAGE '!E21/12</f>
        <v>45786.666666666664</v>
      </c>
      <c r="C2" s="199"/>
      <c r="D2" s="1"/>
      <c r="F2" s="489"/>
      <c r="G2" s="490"/>
      <c r="H2" s="490"/>
      <c r="I2" s="490"/>
      <c r="J2" s="490"/>
      <c r="K2" s="490"/>
      <c r="L2" s="490"/>
      <c r="M2" s="490"/>
      <c r="N2" s="490"/>
      <c r="O2" s="490"/>
      <c r="P2" s="491"/>
    </row>
    <row r="3" spans="1:16" ht="33" customHeight="1" x14ac:dyDescent="0.35">
      <c r="A3" s="220" t="s">
        <v>105</v>
      </c>
      <c r="B3" s="218">
        <f>'1. ANNUAL USAGE '!E21</f>
        <v>549440</v>
      </c>
      <c r="F3" s="489"/>
      <c r="G3" s="490"/>
      <c r="H3" s="490"/>
      <c r="I3" s="490"/>
      <c r="J3" s="490"/>
      <c r="K3" s="490"/>
      <c r="L3" s="490"/>
      <c r="M3" s="490"/>
      <c r="N3" s="490"/>
      <c r="O3" s="490"/>
      <c r="P3" s="491"/>
    </row>
    <row r="4" spans="1:16" ht="42.75" customHeight="1" thickBot="1" x14ac:dyDescent="0.4">
      <c r="A4" s="219" t="s">
        <v>152</v>
      </c>
      <c r="B4" s="229">
        <f>B3*0.99</f>
        <v>543945.6</v>
      </c>
      <c r="F4" s="489"/>
      <c r="G4" s="490"/>
      <c r="H4" s="490"/>
      <c r="I4" s="490"/>
      <c r="J4" s="490"/>
      <c r="K4" s="490"/>
      <c r="L4" s="490"/>
      <c r="M4" s="490"/>
      <c r="N4" s="490"/>
      <c r="O4" s="490"/>
      <c r="P4" s="491"/>
    </row>
    <row r="5" spans="1:16" ht="40.5" customHeight="1" thickTop="1" thickBot="1" x14ac:dyDescent="0.4">
      <c r="A5" s="228" t="s">
        <v>153</v>
      </c>
      <c r="B5" s="230">
        <f>B4/1.525/1000</f>
        <v>356.68563934426231</v>
      </c>
      <c r="F5" s="489"/>
      <c r="G5" s="490"/>
      <c r="H5" s="490"/>
      <c r="I5" s="490"/>
      <c r="J5" s="490"/>
      <c r="K5" s="490"/>
      <c r="L5" s="490"/>
      <c r="M5" s="490"/>
      <c r="N5" s="490"/>
      <c r="O5" s="490"/>
      <c r="P5" s="491"/>
    </row>
    <row r="6" spans="1:16" ht="100.5" customHeight="1" thickTop="1" thickBot="1" x14ac:dyDescent="0.4">
      <c r="A6" s="226" t="s">
        <v>101</v>
      </c>
      <c r="B6" s="233">
        <f>B3/1000*0.65</f>
        <v>357.13600000000002</v>
      </c>
      <c r="C6" s="204"/>
      <c r="F6" s="489"/>
      <c r="G6" s="492"/>
      <c r="H6" s="492"/>
      <c r="I6" s="492"/>
      <c r="J6" s="492"/>
      <c r="K6" s="492"/>
      <c r="L6" s="492"/>
      <c r="M6" s="492"/>
      <c r="N6" s="492"/>
      <c r="O6" s="492"/>
      <c r="P6" s="493"/>
    </row>
    <row r="7" spans="1:16" ht="132.75" customHeight="1" thickTop="1" thickBot="1" x14ac:dyDescent="0.4">
      <c r="A7" s="231" t="s">
        <v>106</v>
      </c>
      <c r="B7" s="268">
        <v>450</v>
      </c>
      <c r="C7" s="232" t="s">
        <v>151</v>
      </c>
      <c r="D7" s="494" t="s">
        <v>104</v>
      </c>
      <c r="E7" s="495"/>
      <c r="F7" s="496"/>
    </row>
    <row r="8" spans="1:16" ht="77.25" customHeight="1" thickTop="1" thickBot="1" x14ac:dyDescent="0.4">
      <c r="A8" s="224" t="s">
        <v>100</v>
      </c>
      <c r="B8" s="269">
        <f>B7*1000*2.2</f>
        <v>990000.00000000012</v>
      </c>
      <c r="C8" s="205" t="s">
        <v>99</v>
      </c>
      <c r="D8" s="483" t="s">
        <v>102</v>
      </c>
      <c r="E8" s="484"/>
      <c r="F8" s="485"/>
    </row>
    <row r="9" spans="1:16" ht="39" customHeight="1" thickTop="1" x14ac:dyDescent="0.35">
      <c r="A9" s="225" t="s">
        <v>0</v>
      </c>
      <c r="B9" s="45">
        <f>B8*0.3</f>
        <v>297000</v>
      </c>
      <c r="C9" s="51"/>
    </row>
    <row r="10" spans="1:16" ht="38.25" customHeight="1" x14ac:dyDescent="0.6">
      <c r="A10" s="221" t="s">
        <v>31</v>
      </c>
      <c r="B10" s="271"/>
      <c r="C10" s="234" t="s">
        <v>40</v>
      </c>
    </row>
    <row r="11" spans="1:16" ht="29.25" customHeight="1" x14ac:dyDescent="0.6">
      <c r="A11" s="222" t="s">
        <v>38</v>
      </c>
      <c r="B11" s="272"/>
      <c r="C11" s="235" t="s">
        <v>41</v>
      </c>
      <c r="J11" s="499" t="s">
        <v>203</v>
      </c>
      <c r="K11" s="500"/>
      <c r="L11" s="500"/>
      <c r="M11" s="500"/>
      <c r="N11" s="500"/>
      <c r="O11" s="500"/>
      <c r="P11" s="501"/>
    </row>
    <row r="12" spans="1:16" ht="29.25" customHeight="1" x14ac:dyDescent="0.6">
      <c r="A12" s="223" t="s">
        <v>43</v>
      </c>
      <c r="B12" s="270">
        <v>1500</v>
      </c>
      <c r="C12" s="64" t="s">
        <v>44</v>
      </c>
      <c r="J12" s="502"/>
      <c r="K12" s="503"/>
      <c r="L12" s="503"/>
      <c r="M12" s="503"/>
      <c r="N12" s="503"/>
      <c r="O12" s="503"/>
      <c r="P12" s="504"/>
    </row>
    <row r="13" spans="1:16" ht="22.5" x14ac:dyDescent="0.6">
      <c r="A13" s="52" t="s">
        <v>39</v>
      </c>
      <c r="B13" s="53">
        <f>B8+B10-B11</f>
        <v>990000.00000000012</v>
      </c>
      <c r="C13" s="54" t="s">
        <v>42</v>
      </c>
    </row>
    <row r="14" spans="1:16" ht="22.5" x14ac:dyDescent="0.6">
      <c r="A14" s="65" t="s">
        <v>154</v>
      </c>
      <c r="B14" s="66">
        <f>B13*0.7</f>
        <v>693000</v>
      </c>
      <c r="C14" s="67" t="s">
        <v>155</v>
      </c>
    </row>
    <row r="15" spans="1:16" ht="22.9" thickBot="1" x14ac:dyDescent="0.65">
      <c r="A15" s="68" t="s">
        <v>45</v>
      </c>
      <c r="B15" s="368">
        <f>B14-C16</f>
        <v>658000</v>
      </c>
      <c r="C15" s="369" t="s">
        <v>46</v>
      </c>
    </row>
    <row r="16" spans="1:16" ht="22.9" thickTop="1" thickBot="1" x14ac:dyDescent="0.6">
      <c r="C16" s="370">
        <f>MIN(35000,B8*0.25)</f>
        <v>35000</v>
      </c>
    </row>
    <row r="17" ht="22.5" thickTop="1" x14ac:dyDescent="0.55000000000000004"/>
  </sheetData>
  <sheetProtection selectLockedCells="1"/>
  <mergeCells count="5">
    <mergeCell ref="D8:F8"/>
    <mergeCell ref="F1:P6"/>
    <mergeCell ref="D7:F7"/>
    <mergeCell ref="A1:B1"/>
    <mergeCell ref="J11:P12"/>
  </mergeCells>
  <pageMargins left="0.7" right="0.7" top="0.75" bottom="0.75" header="0.3" footer="0.3"/>
  <pageSetup scale="3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R52"/>
  <sheetViews>
    <sheetView zoomScale="90" zoomScaleNormal="90" zoomScalePageLayoutView="90" workbookViewId="0">
      <selection activeCell="L47" sqref="L47"/>
    </sheetView>
  </sheetViews>
  <sheetFormatPr defaultColWidth="14.86328125" defaultRowHeight="12.75" x14ac:dyDescent="0.35"/>
  <cols>
    <col min="1" max="1" width="23.86328125" style="180" customWidth="1"/>
    <col min="2" max="2" width="15.3984375" style="180" customWidth="1"/>
    <col min="3" max="3" width="15.73046875" style="180" customWidth="1"/>
    <col min="4" max="4" width="17.73046875" style="180" customWidth="1"/>
    <col min="5" max="5" width="15.3984375" style="180" bestFit="1" customWidth="1"/>
    <col min="6" max="6" width="14.86328125" style="180"/>
    <col min="7" max="7" width="18.1328125" style="180" customWidth="1"/>
    <col min="8" max="8" width="21.265625" style="180" customWidth="1"/>
    <col min="9" max="16384" width="14.86328125" style="180"/>
  </cols>
  <sheetData>
    <row r="1" spans="2:18" ht="36.75" customHeight="1" thickBot="1" x14ac:dyDescent="0.4"/>
    <row r="2" spans="2:18" ht="74.25" customHeight="1" thickTop="1" x14ac:dyDescent="0.35">
      <c r="B2" s="851" t="s">
        <v>238</v>
      </c>
      <c r="C2" s="852" t="s">
        <v>239</v>
      </c>
      <c r="D2" s="279" t="s">
        <v>240</v>
      </c>
      <c r="E2" s="853" t="s">
        <v>241</v>
      </c>
      <c r="F2" s="853" t="s">
        <v>242</v>
      </c>
      <c r="G2" s="853" t="s">
        <v>243</v>
      </c>
      <c r="H2" s="854" t="s">
        <v>244</v>
      </c>
      <c r="I2" s="508" t="s">
        <v>110</v>
      </c>
      <c r="J2" s="509"/>
      <c r="K2" s="509"/>
      <c r="L2" s="510"/>
    </row>
    <row r="3" spans="2:18" ht="15.4" thickBot="1" x14ac:dyDescent="0.45">
      <c r="B3" s="855" t="s">
        <v>87</v>
      </c>
      <c r="C3" s="856">
        <f>'1. ANNUAL USAGE '!E9</f>
        <v>35360</v>
      </c>
      <c r="D3" s="215">
        <f>'1. ANNUAL USAGE '!F9</f>
        <v>4709.3</v>
      </c>
      <c r="E3" s="857">
        <v>28342.203125</v>
      </c>
      <c r="F3" s="858">
        <f>(H3-0.01)*E3</f>
        <v>3491.2368255532378</v>
      </c>
      <c r="G3" s="859">
        <f>D3-F3</f>
        <v>1218.0631744467623</v>
      </c>
      <c r="H3" s="875">
        <f>D3/C3</f>
        <v>0.13318156108597284</v>
      </c>
      <c r="I3" s="511"/>
      <c r="J3" s="512"/>
      <c r="K3" s="512"/>
      <c r="L3" s="513"/>
    </row>
    <row r="4" spans="2:18" ht="15.4" thickTop="1" x14ac:dyDescent="0.4">
      <c r="B4" s="860" t="s">
        <v>88</v>
      </c>
      <c r="C4" s="856">
        <f>'1. ANNUAL USAGE '!E10</f>
        <v>36040</v>
      </c>
      <c r="D4" s="215">
        <f>'1. ANNUAL USAGE '!F10</f>
        <v>4798.74</v>
      </c>
      <c r="E4" s="857">
        <v>27734.48046875</v>
      </c>
      <c r="F4" s="858">
        <f t="shared" ref="F4:F14" si="0">(H4-0.01)*E4</f>
        <v>3415.512043387122</v>
      </c>
      <c r="G4" s="859">
        <f>D4-F4</f>
        <v>1383.2279566128777</v>
      </c>
      <c r="H4" s="875">
        <f t="shared" ref="H4:H14" si="1">D4/C4</f>
        <v>0.1331503884572697</v>
      </c>
      <c r="I4" s="195"/>
      <c r="J4" s="196"/>
      <c r="K4" s="197"/>
      <c r="L4" s="197"/>
      <c r="P4" s="185"/>
    </row>
    <row r="5" spans="2:18" ht="15" x14ac:dyDescent="0.4">
      <c r="B5" s="860" t="s">
        <v>89</v>
      </c>
      <c r="C5" s="856">
        <f>'1. ANNUAL USAGE '!E11</f>
        <v>36600</v>
      </c>
      <c r="D5" s="215">
        <f>'1. ANNUAL USAGE '!F11</f>
        <v>4872.41</v>
      </c>
      <c r="E5" s="857">
        <v>35161.63671875</v>
      </c>
      <c r="F5" s="858">
        <f t="shared" si="0"/>
        <v>4329.3101455120814</v>
      </c>
      <c r="G5" s="859">
        <f>D5-F5</f>
        <v>543.09985448791849</v>
      </c>
      <c r="H5" s="875">
        <f t="shared" si="1"/>
        <v>0.133125956284153</v>
      </c>
      <c r="I5" s="195"/>
      <c r="J5" s="196"/>
      <c r="K5" s="197"/>
      <c r="L5" s="197"/>
      <c r="P5" s="185"/>
      <c r="Q5" s="185"/>
      <c r="R5" s="185"/>
    </row>
    <row r="6" spans="2:18" ht="15" x14ac:dyDescent="0.4">
      <c r="B6" s="860" t="s">
        <v>90</v>
      </c>
      <c r="C6" s="856">
        <f>'1. ANNUAL USAGE '!E12</f>
        <v>39360</v>
      </c>
      <c r="D6" s="215">
        <f>'1. ANNUAL USAGE '!F12</f>
        <v>5288.31</v>
      </c>
      <c r="E6" s="857">
        <v>38474.60546875</v>
      </c>
      <c r="F6" s="858">
        <f t="shared" si="0"/>
        <v>4784.6045765738145</v>
      </c>
      <c r="G6" s="859">
        <f>D6-F6</f>
        <v>503.70542342618592</v>
      </c>
      <c r="H6" s="875">
        <f t="shared" si="1"/>
        <v>0.13435746951219513</v>
      </c>
      <c r="I6" s="195"/>
      <c r="J6" s="196"/>
      <c r="K6" s="197"/>
      <c r="L6" s="197"/>
      <c r="P6" s="185"/>
      <c r="Q6" s="185"/>
      <c r="R6" s="185"/>
    </row>
    <row r="7" spans="2:18" ht="15" x14ac:dyDescent="0.4">
      <c r="B7" s="860" t="s">
        <v>74</v>
      </c>
      <c r="C7" s="856">
        <f>'1. ANNUAL USAGE '!E13</f>
        <v>53720</v>
      </c>
      <c r="D7" s="215">
        <f>'1. ANNUAL USAGE '!F13</f>
        <v>8166.94</v>
      </c>
      <c r="E7" s="857">
        <v>39026.1953125</v>
      </c>
      <c r="F7" s="858">
        <f t="shared" si="0"/>
        <v>5542.8094457109783</v>
      </c>
      <c r="G7" s="859">
        <f t="shared" ref="G7:G14" si="2">D7-F7</f>
        <v>2624.1305542890213</v>
      </c>
      <c r="H7" s="875">
        <f t="shared" si="1"/>
        <v>0.15202792256142963</v>
      </c>
      <c r="I7" s="195"/>
      <c r="J7" s="196"/>
      <c r="K7" s="197"/>
      <c r="L7" s="197"/>
      <c r="P7" s="185"/>
      <c r="Q7" s="185"/>
      <c r="R7" s="185"/>
    </row>
    <row r="8" spans="2:18" ht="15" x14ac:dyDescent="0.4">
      <c r="B8" s="860" t="s">
        <v>75</v>
      </c>
      <c r="C8" s="856">
        <f>'1. ANNUAL USAGE '!E14</f>
        <v>57080</v>
      </c>
      <c r="D8" s="215">
        <f>'1. ANNUAL USAGE '!F14</f>
        <v>8677.58</v>
      </c>
      <c r="E8" s="857">
        <v>36026.78125</v>
      </c>
      <c r="F8" s="858">
        <f t="shared" si="0"/>
        <v>5116.6991888905923</v>
      </c>
      <c r="G8" s="859">
        <f t="shared" si="2"/>
        <v>3560.8808111094077</v>
      </c>
      <c r="H8" s="875">
        <f t="shared" si="1"/>
        <v>0.15202487736510162</v>
      </c>
      <c r="I8" s="195"/>
      <c r="J8" s="196"/>
      <c r="K8" s="197"/>
      <c r="L8" s="197"/>
    </row>
    <row r="9" spans="2:18" ht="15" x14ac:dyDescent="0.4">
      <c r="B9" s="860" t="s">
        <v>76</v>
      </c>
      <c r="C9" s="856">
        <f>'1. ANNUAL USAGE '!E15</f>
        <v>63000</v>
      </c>
      <c r="D9" s="215">
        <f>'1. ANNUAL USAGE '!F15</f>
        <v>9494.07</v>
      </c>
      <c r="E9" s="857">
        <v>36603.44921875</v>
      </c>
      <c r="F9" s="858">
        <f t="shared" si="0"/>
        <v>5150.0878748642108</v>
      </c>
      <c r="G9" s="859">
        <f t="shared" si="2"/>
        <v>4343.9821251357889</v>
      </c>
      <c r="H9" s="875">
        <f t="shared" si="1"/>
        <v>0.15069952380952381</v>
      </c>
      <c r="I9" s="195"/>
      <c r="J9" s="196"/>
      <c r="K9" s="197"/>
      <c r="L9" s="197"/>
    </row>
    <row r="10" spans="2:18" ht="15" x14ac:dyDescent="0.4">
      <c r="B10" s="860" t="s">
        <v>91</v>
      </c>
      <c r="C10" s="856">
        <f>'1. ANNUAL USAGE '!E16</f>
        <v>61720</v>
      </c>
      <c r="D10" s="215">
        <f>'1. ANNUAL USAGE '!F16</f>
        <v>9301.19</v>
      </c>
      <c r="E10" s="857">
        <v>35803.20703125</v>
      </c>
      <c r="F10" s="858">
        <f t="shared" si="0"/>
        <v>5037.5031080250274</v>
      </c>
      <c r="G10" s="859">
        <f t="shared" si="2"/>
        <v>4263.6868919749732</v>
      </c>
      <c r="H10" s="875">
        <f t="shared" si="1"/>
        <v>0.15069977316915101</v>
      </c>
      <c r="I10" s="195"/>
      <c r="J10" s="196"/>
      <c r="K10" s="197"/>
      <c r="L10" s="197"/>
    </row>
    <row r="11" spans="2:18" ht="15" x14ac:dyDescent="0.4">
      <c r="B11" s="860" t="s">
        <v>92</v>
      </c>
      <c r="C11" s="856">
        <f>'1. ANNUAL USAGE '!E17</f>
        <v>50760</v>
      </c>
      <c r="D11" s="215">
        <f>'1. ANNUAL USAGE '!F17</f>
        <v>6735.07</v>
      </c>
      <c r="E11" s="857">
        <v>32464.9296875</v>
      </c>
      <c r="F11" s="858">
        <f t="shared" si="0"/>
        <v>3982.9467234242634</v>
      </c>
      <c r="G11" s="859">
        <f t="shared" si="2"/>
        <v>2752.1232765757363</v>
      </c>
      <c r="H11" s="875">
        <f t="shared" si="1"/>
        <v>0.1326845941686367</v>
      </c>
      <c r="I11" s="195"/>
      <c r="J11" s="196"/>
      <c r="K11" s="197"/>
      <c r="L11" s="197"/>
    </row>
    <row r="12" spans="2:18" ht="15" x14ac:dyDescent="0.4">
      <c r="B12" s="860" t="s">
        <v>93</v>
      </c>
      <c r="C12" s="856">
        <f>'1. ANNUAL USAGE '!E18</f>
        <v>40920</v>
      </c>
      <c r="D12" s="215">
        <f>'1. ANNUAL USAGE '!F18</f>
        <v>5440.68</v>
      </c>
      <c r="E12" s="857">
        <v>33227.69140625</v>
      </c>
      <c r="F12" s="858">
        <f t="shared" si="0"/>
        <v>4085.6418562247991</v>
      </c>
      <c r="G12" s="859">
        <f t="shared" si="2"/>
        <v>1355.0381437752012</v>
      </c>
      <c r="H12" s="875">
        <f t="shared" si="1"/>
        <v>0.13295894428152494</v>
      </c>
      <c r="I12" s="195"/>
      <c r="J12" s="196"/>
      <c r="K12" s="197"/>
      <c r="L12" s="197"/>
    </row>
    <row r="13" spans="2:18" ht="15" x14ac:dyDescent="0.4">
      <c r="B13" s="860" t="s">
        <v>94</v>
      </c>
      <c r="C13" s="856">
        <f>'1. ANNUAL USAGE '!E19</f>
        <v>37840</v>
      </c>
      <c r="D13" s="215">
        <f>'1. ANNUAL USAGE '!F19</f>
        <v>5035.53</v>
      </c>
      <c r="E13" s="857">
        <v>29843.7109375</v>
      </c>
      <c r="F13" s="858">
        <f t="shared" si="0"/>
        <v>3672.992640548609</v>
      </c>
      <c r="G13" s="859">
        <f t="shared" si="2"/>
        <v>1362.5373594513908</v>
      </c>
      <c r="H13" s="875">
        <f t="shared" si="1"/>
        <v>0.13307426004228329</v>
      </c>
      <c r="I13" s="195"/>
      <c r="J13" s="196"/>
      <c r="K13" s="197"/>
      <c r="L13" s="197"/>
    </row>
    <row r="14" spans="2:18" ht="15" x14ac:dyDescent="0.4">
      <c r="B14" s="860" t="s">
        <v>95</v>
      </c>
      <c r="C14" s="856">
        <f>'1. ANNUAL USAGE '!E20</f>
        <v>37040</v>
      </c>
      <c r="D14" s="215">
        <f>'1. ANNUAL USAGE '!F20</f>
        <v>4930.3</v>
      </c>
      <c r="E14" s="857">
        <v>24788.517578129999</v>
      </c>
      <c r="F14" s="858">
        <f t="shared" si="0"/>
        <v>3051.6512231240545</v>
      </c>
      <c r="G14" s="859">
        <f t="shared" si="2"/>
        <v>1878.6487768759457</v>
      </c>
      <c r="H14" s="875">
        <f t="shared" si="1"/>
        <v>0.13310745140388769</v>
      </c>
      <c r="I14" s="195"/>
      <c r="L14" s="197"/>
    </row>
    <row r="15" spans="2:18" ht="24" customHeight="1" x14ac:dyDescent="0.4">
      <c r="B15" s="861" t="s">
        <v>96</v>
      </c>
      <c r="C15" s="862">
        <f>SUM(C3:C14)</f>
        <v>549440</v>
      </c>
      <c r="D15" s="200">
        <f>SUM(D3:D14)</f>
        <v>77450.12000000001</v>
      </c>
      <c r="E15" s="863">
        <f>SUM(E3:E14)</f>
        <v>397497.40820313001</v>
      </c>
      <c r="F15" s="864">
        <f>SUM(F3:F14)</f>
        <v>51660.995651838792</v>
      </c>
      <c r="G15" s="865">
        <f>SUM(G3:G14)</f>
        <v>25789.124348161211</v>
      </c>
      <c r="H15" s="201"/>
      <c r="I15" s="195"/>
      <c r="L15" s="198"/>
    </row>
    <row r="16" spans="2:18" ht="30.75" customHeight="1" thickBot="1" x14ac:dyDescent="0.45">
      <c r="B16" s="866" t="s">
        <v>245</v>
      </c>
      <c r="C16" s="867">
        <f>C15/12</f>
        <v>45786.666666666664</v>
      </c>
      <c r="D16" s="202">
        <f>D15/12</f>
        <v>6454.1766666666672</v>
      </c>
      <c r="E16" s="868">
        <f>E15/12</f>
        <v>33124.7840169275</v>
      </c>
      <c r="F16" s="869">
        <f>F15/12</f>
        <v>4305.0829709865657</v>
      </c>
      <c r="G16" s="870">
        <f>G15/12</f>
        <v>2149.0936956801011</v>
      </c>
      <c r="H16" s="203">
        <f>SUM(H3:H15)/12</f>
        <v>0.1392577268450941</v>
      </c>
      <c r="I16" s="197"/>
      <c r="L16" s="198"/>
      <c r="N16" s="183"/>
    </row>
    <row r="17" spans="2:14" ht="13.15" thickTop="1" x14ac:dyDescent="0.35">
      <c r="B17" s="178"/>
      <c r="D17" s="182"/>
      <c r="F17" s="187"/>
      <c r="G17" s="190"/>
      <c r="H17" s="188"/>
      <c r="J17" s="189"/>
      <c r="L17" s="187"/>
      <c r="N17" s="183"/>
    </row>
    <row r="18" spans="2:14" ht="13.15" thickBot="1" x14ac:dyDescent="0.4">
      <c r="B18" s="178"/>
      <c r="D18" s="182"/>
      <c r="F18" s="187"/>
      <c r="G18" s="190"/>
      <c r="H18" s="188"/>
      <c r="J18" s="189"/>
      <c r="L18" s="187"/>
      <c r="N18" s="183"/>
    </row>
    <row r="19" spans="2:14" ht="29.25" customHeight="1" thickTop="1" x14ac:dyDescent="0.35">
      <c r="B19" s="178"/>
      <c r="D19" s="182"/>
      <c r="F19" s="187"/>
      <c r="G19" s="514" t="s">
        <v>109</v>
      </c>
      <c r="H19" s="516" t="s">
        <v>143</v>
      </c>
      <c r="J19" s="189"/>
      <c r="L19" s="187"/>
      <c r="N19" s="183"/>
    </row>
    <row r="20" spans="2:14" ht="23.25" customHeight="1" x14ac:dyDescent="0.35">
      <c r="B20" s="191"/>
      <c r="D20" s="182"/>
      <c r="F20" s="187"/>
      <c r="G20" s="515"/>
      <c r="H20" s="517"/>
      <c r="L20" s="187"/>
      <c r="N20" s="183"/>
    </row>
    <row r="21" spans="2:14" ht="31.5" customHeight="1" thickBot="1" x14ac:dyDescent="0.65">
      <c r="B21" s="178"/>
      <c r="D21" s="182"/>
      <c r="F21" s="187"/>
      <c r="G21" s="278">
        <f>E15/C15</f>
        <v>0.72345917334582488</v>
      </c>
      <c r="H21" s="278">
        <f>F15/D15</f>
        <v>0.66702279676053167</v>
      </c>
      <c r="L21" s="187"/>
      <c r="N21" s="183"/>
    </row>
    <row r="22" spans="2:14" ht="13.15" customHeight="1" thickTop="1" x14ac:dyDescent="0.35">
      <c r="B22" s="178"/>
      <c r="D22" s="182"/>
      <c r="F22" s="187"/>
      <c r="G22" s="518" t="s">
        <v>198</v>
      </c>
      <c r="H22" s="519"/>
      <c r="L22" s="187"/>
      <c r="N22" s="183"/>
    </row>
    <row r="23" spans="2:14" ht="13.15" customHeight="1" thickBot="1" x14ac:dyDescent="0.4">
      <c r="B23" s="178"/>
      <c r="D23" s="182"/>
      <c r="F23" s="187"/>
      <c r="G23" s="520"/>
      <c r="H23" s="521"/>
      <c r="N23" s="183"/>
    </row>
    <row r="24" spans="2:14" ht="13.15" customHeight="1" thickTop="1" x14ac:dyDescent="0.35">
      <c r="B24" s="178"/>
      <c r="D24" s="182"/>
      <c r="F24" s="187"/>
      <c r="G24" s="443"/>
      <c r="H24" s="522" t="s">
        <v>199</v>
      </c>
      <c r="N24" s="183"/>
    </row>
    <row r="25" spans="2:14" x14ac:dyDescent="0.35">
      <c r="B25" s="178"/>
      <c r="D25" s="182"/>
      <c r="F25" s="187"/>
      <c r="G25" s="444"/>
      <c r="H25" s="523"/>
      <c r="N25" s="183"/>
    </row>
    <row r="26" spans="2:14" x14ac:dyDescent="0.35">
      <c r="B26" s="178"/>
      <c r="D26" s="182"/>
      <c r="F26" s="187"/>
      <c r="G26" s="444"/>
      <c r="H26" s="523"/>
      <c r="N26" s="183"/>
    </row>
    <row r="27" spans="2:14" x14ac:dyDescent="0.35">
      <c r="B27" s="186"/>
      <c r="D27" s="182"/>
      <c r="F27" s="187"/>
      <c r="G27" s="444"/>
      <c r="H27" s="523"/>
      <c r="N27" s="183"/>
    </row>
    <row r="28" spans="2:14" ht="22.5" x14ac:dyDescent="0.35">
      <c r="B28" s="178"/>
      <c r="D28" s="182"/>
      <c r="F28" s="187"/>
      <c r="G28" s="444"/>
      <c r="H28" s="445">
        <f>E15*1.64</f>
        <v>651895.7494531332</v>
      </c>
      <c r="N28" s="183"/>
    </row>
    <row r="29" spans="2:14" ht="25.5" x14ac:dyDescent="0.35">
      <c r="B29" s="178"/>
      <c r="D29" s="182"/>
      <c r="F29" s="187"/>
      <c r="G29" s="444"/>
      <c r="H29" s="446" t="s">
        <v>200</v>
      </c>
      <c r="N29" s="183"/>
    </row>
    <row r="30" spans="2:14" ht="12.75" customHeight="1" x14ac:dyDescent="0.35">
      <c r="B30" s="178"/>
      <c r="D30" s="182"/>
      <c r="F30" s="187"/>
      <c r="G30" s="444"/>
      <c r="H30" s="505" t="s">
        <v>201</v>
      </c>
      <c r="N30" s="183"/>
    </row>
    <row r="31" spans="2:14" x14ac:dyDescent="0.35">
      <c r="B31" s="178"/>
      <c r="D31" s="182"/>
      <c r="F31" s="187"/>
      <c r="G31" s="444"/>
      <c r="H31" s="505"/>
      <c r="N31" s="183"/>
    </row>
    <row r="32" spans="2:14" x14ac:dyDescent="0.35">
      <c r="B32" s="191"/>
      <c r="D32" s="182"/>
      <c r="F32" s="187"/>
      <c r="G32" s="444"/>
      <c r="H32" s="505"/>
      <c r="N32" s="183"/>
    </row>
    <row r="33" spans="2:14" ht="19.899999999999999" x14ac:dyDescent="0.5">
      <c r="B33" s="178"/>
      <c r="D33" s="182"/>
      <c r="F33" s="187"/>
      <c r="G33" s="444"/>
      <c r="H33" s="447">
        <f>E15*0.02</f>
        <v>7949.9481640626</v>
      </c>
      <c r="N33" s="183"/>
    </row>
    <row r="34" spans="2:14" x14ac:dyDescent="0.35">
      <c r="B34" s="178"/>
      <c r="D34" s="182"/>
      <c r="F34" s="187"/>
      <c r="G34" s="444"/>
      <c r="H34" s="506" t="s">
        <v>202</v>
      </c>
      <c r="N34" s="183"/>
    </row>
    <row r="35" spans="2:14" ht="13.15" thickBot="1" x14ac:dyDescent="0.4">
      <c r="B35" s="178"/>
      <c r="D35" s="182"/>
      <c r="F35" s="187"/>
      <c r="G35" s="448"/>
      <c r="H35" s="507"/>
      <c r="N35" s="183"/>
    </row>
    <row r="36" spans="2:14" ht="13.15" thickTop="1" x14ac:dyDescent="0.35">
      <c r="B36" s="878"/>
      <c r="C36" s="878"/>
      <c r="D36" s="878"/>
      <c r="E36" s="878"/>
      <c r="F36" s="878"/>
      <c r="G36" s="878"/>
      <c r="H36" s="878"/>
      <c r="N36" s="183"/>
    </row>
    <row r="37" spans="2:14" x14ac:dyDescent="0.35">
      <c r="B37" s="876" t="s">
        <v>247</v>
      </c>
      <c r="C37" s="876"/>
      <c r="D37" s="876"/>
      <c r="E37" s="876"/>
      <c r="F37" s="876"/>
      <c r="G37" s="876"/>
      <c r="H37" s="876"/>
      <c r="N37" s="183"/>
    </row>
    <row r="38" spans="2:14" x14ac:dyDescent="0.35">
      <c r="B38" s="876"/>
      <c r="C38" s="876"/>
      <c r="D38" s="876"/>
      <c r="E38" s="876"/>
      <c r="F38" s="876"/>
      <c r="G38" s="876"/>
      <c r="H38" s="876"/>
      <c r="N38" s="183"/>
    </row>
    <row r="39" spans="2:14" x14ac:dyDescent="0.35">
      <c r="B39" s="876"/>
      <c r="C39" s="876"/>
      <c r="D39" s="876"/>
      <c r="E39" s="876"/>
      <c r="F39" s="876"/>
      <c r="G39" s="876"/>
      <c r="H39" s="876"/>
      <c r="I39" s="179"/>
      <c r="N39" s="183"/>
    </row>
    <row r="40" spans="2:14" x14ac:dyDescent="0.35">
      <c r="B40" s="876"/>
      <c r="C40" s="876"/>
      <c r="D40" s="876"/>
      <c r="E40" s="876"/>
      <c r="F40" s="876"/>
      <c r="G40" s="876"/>
      <c r="H40" s="876"/>
      <c r="I40" s="183"/>
      <c r="N40" s="183"/>
    </row>
    <row r="41" spans="2:14" x14ac:dyDescent="0.35">
      <c r="B41" s="178"/>
      <c r="C41"/>
      <c r="D41" s="188"/>
      <c r="E41" s="182"/>
      <c r="F41" s="188"/>
      <c r="G41" s="183"/>
      <c r="H41" s="184"/>
      <c r="I41" s="183"/>
      <c r="N41" s="183"/>
    </row>
    <row r="42" spans="2:14" x14ac:dyDescent="0.35">
      <c r="B42" s="178"/>
      <c r="C42"/>
      <c r="D42" s="188"/>
      <c r="E42" s="182"/>
      <c r="F42" s="188"/>
      <c r="G42" s="183"/>
      <c r="H42" s="184"/>
      <c r="I42" s="183"/>
      <c r="N42" s="183"/>
    </row>
    <row r="43" spans="2:14" x14ac:dyDescent="0.35">
      <c r="B43" s="178"/>
      <c r="C43"/>
      <c r="D43" s="188"/>
      <c r="E43" s="182"/>
      <c r="F43" s="188"/>
      <c r="G43" s="183"/>
      <c r="H43" s="184"/>
      <c r="I43" s="183"/>
      <c r="N43" s="183"/>
    </row>
    <row r="44" spans="2:14" x14ac:dyDescent="0.35">
      <c r="B44" s="178"/>
      <c r="C44"/>
      <c r="D44" s="188"/>
      <c r="E44" s="182"/>
      <c r="F44" s="188"/>
      <c r="G44" s="183"/>
      <c r="H44" s="184"/>
      <c r="I44" s="183"/>
      <c r="N44" s="183"/>
    </row>
    <row r="45" spans="2:14" x14ac:dyDescent="0.35">
      <c r="B45" s="178"/>
      <c r="C45"/>
      <c r="D45" s="188"/>
      <c r="E45" s="182"/>
      <c r="F45" s="188"/>
      <c r="G45" s="183"/>
      <c r="H45" s="184"/>
      <c r="I45" s="183"/>
      <c r="M45" s="182"/>
      <c r="N45" s="183"/>
    </row>
    <row r="46" spans="2:14" x14ac:dyDescent="0.35">
      <c r="B46" s="178"/>
      <c r="C46"/>
      <c r="D46" s="188"/>
      <c r="E46" s="182"/>
      <c r="F46" s="188"/>
      <c r="G46" s="183"/>
      <c r="H46" s="184"/>
      <c r="I46" s="183"/>
      <c r="M46" s="182"/>
      <c r="N46" s="183"/>
    </row>
    <row r="47" spans="2:14" x14ac:dyDescent="0.35">
      <c r="B47" s="178"/>
      <c r="C47"/>
      <c r="D47" s="188"/>
      <c r="E47" s="182"/>
      <c r="F47" s="188"/>
      <c r="G47" s="183"/>
      <c r="H47" s="184"/>
      <c r="I47" s="183"/>
    </row>
    <row r="48" spans="2:14" x14ac:dyDescent="0.35">
      <c r="B48" s="178"/>
      <c r="C48"/>
      <c r="D48" s="188"/>
      <c r="E48" s="182"/>
      <c r="F48" s="188"/>
      <c r="G48" s="183"/>
      <c r="H48" s="184"/>
      <c r="I48" s="183"/>
    </row>
    <row r="49" spans="2:9" x14ac:dyDescent="0.35">
      <c r="B49" s="178"/>
      <c r="C49"/>
      <c r="D49" s="188"/>
      <c r="E49" s="182"/>
      <c r="F49" s="188"/>
      <c r="G49" s="183"/>
      <c r="H49" s="184"/>
      <c r="I49" s="183"/>
    </row>
    <row r="50" spans="2:9" x14ac:dyDescent="0.35">
      <c r="B50" s="178"/>
      <c r="C50"/>
      <c r="D50" s="188"/>
      <c r="E50" s="182"/>
      <c r="F50" s="188"/>
      <c r="G50" s="183"/>
      <c r="H50" s="184"/>
      <c r="I50" s="183"/>
    </row>
    <row r="51" spans="2:9" x14ac:dyDescent="0.35">
      <c r="B51" s="178"/>
      <c r="C51"/>
      <c r="D51" s="188"/>
      <c r="E51" s="182"/>
      <c r="F51" s="188"/>
      <c r="G51" s="183"/>
      <c r="H51" s="184"/>
      <c r="I51" s="183"/>
    </row>
    <row r="52" spans="2:9" x14ac:dyDescent="0.35">
      <c r="B52" s="186"/>
      <c r="D52" s="181"/>
      <c r="F52" s="181"/>
      <c r="G52" s="183"/>
      <c r="H52" s="184"/>
      <c r="I52" s="183"/>
    </row>
  </sheetData>
  <sheetProtection selectLockedCells="1"/>
  <mergeCells count="8">
    <mergeCell ref="B37:H40"/>
    <mergeCell ref="H30:H32"/>
    <mergeCell ref="H34:H35"/>
    <mergeCell ref="I2:L3"/>
    <mergeCell ref="G19:G20"/>
    <mergeCell ref="H19:H20"/>
    <mergeCell ref="G22:H23"/>
    <mergeCell ref="H24:H27"/>
  </mergeCells>
  <pageMargins left="0.7" right="0.7" top="0.75" bottom="0.75" header="0.3" footer="0.3"/>
  <pageSetup scale="69" orientation="landscape" r:id="rId1"/>
  <headerFooter>
    <oddHeader>&amp;C&amp;G</oddHeader>
    <oddFooter>&amp;C2 Corpus Cristi Place Suite 200 Hilton Head, SC 29928     844.765.2793</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autoPageBreaks="0"/>
  </sheetPr>
  <dimension ref="A1:J44"/>
  <sheetViews>
    <sheetView topLeftCell="A10" zoomScaleNormal="100" workbookViewId="0">
      <selection activeCell="O30" sqref="O30"/>
    </sheetView>
  </sheetViews>
  <sheetFormatPr defaultColWidth="8.86328125" defaultRowHeight="12.75" x14ac:dyDescent="0.35"/>
  <cols>
    <col min="1" max="1" width="11" style="5" customWidth="1"/>
    <col min="2" max="6" width="8.86328125" style="5"/>
    <col min="7" max="7" width="4.73046875" style="5" customWidth="1"/>
    <col min="8" max="8" width="12.3984375" style="5" customWidth="1"/>
    <col min="9" max="9" width="14.3984375" style="5" bestFit="1" customWidth="1"/>
    <col min="10" max="16384" width="8.86328125" style="5"/>
  </cols>
  <sheetData>
    <row r="1" spans="1:10" x14ac:dyDescent="0.35">
      <c r="A1" s="4"/>
      <c r="B1" s="44" t="str">
        <f>'1. ANNUAL USAGE '!C3</f>
        <v>Le Creuset of America, Inc.</v>
      </c>
      <c r="C1" s="43"/>
      <c r="D1" s="43"/>
      <c r="E1" s="4"/>
      <c r="F1" s="44" t="s">
        <v>1</v>
      </c>
      <c r="G1" s="44"/>
      <c r="H1" s="43"/>
      <c r="I1" s="4"/>
    </row>
    <row r="2" spans="1:10" x14ac:dyDescent="0.35">
      <c r="A2" s="4"/>
      <c r="B2" s="524" t="str">
        <f>'1. ANNUAL USAGE '!C4</f>
        <v>Le Creuset</v>
      </c>
      <c r="C2" s="524"/>
      <c r="D2" s="524"/>
      <c r="E2" s="4"/>
      <c r="F2" s="43" t="str">
        <f>B2</f>
        <v>Le Creuset</v>
      </c>
      <c r="G2" s="43"/>
      <c r="H2" s="43"/>
      <c r="I2" s="4"/>
    </row>
    <row r="3" spans="1:10" x14ac:dyDescent="0.35">
      <c r="A3" s="4"/>
      <c r="B3" s="524" t="str">
        <f>'1. ANNUAL USAGE '!C5</f>
        <v>114 Bob Gifford Blvd.</v>
      </c>
      <c r="C3" s="524"/>
      <c r="D3" s="524"/>
      <c r="E3" s="4"/>
      <c r="F3" s="524" t="str">
        <f>B3</f>
        <v>114 Bob Gifford Blvd.</v>
      </c>
      <c r="G3" s="524"/>
      <c r="H3" s="524"/>
      <c r="I3" s="4"/>
    </row>
    <row r="4" spans="1:10" x14ac:dyDescent="0.35">
      <c r="A4" s="4"/>
      <c r="B4" s="524" t="str">
        <f>'1. ANNUAL USAGE '!C6</f>
        <v>Early Branch, SC 29916</v>
      </c>
      <c r="C4" s="524"/>
      <c r="D4" s="524"/>
      <c r="E4" s="4"/>
      <c r="F4" s="524" t="str">
        <f>B4</f>
        <v>Early Branch, SC 29916</v>
      </c>
      <c r="G4" s="524"/>
      <c r="H4" s="524"/>
      <c r="I4" s="4"/>
    </row>
    <row r="5" spans="1:10" x14ac:dyDescent="0.35">
      <c r="A5" s="4"/>
      <c r="B5" s="6"/>
      <c r="C5" s="6"/>
      <c r="D5" s="6"/>
      <c r="E5" s="4"/>
      <c r="F5" s="43"/>
      <c r="G5" s="43"/>
      <c r="H5" s="43"/>
      <c r="I5" s="4"/>
    </row>
    <row r="6" spans="1:10" x14ac:dyDescent="0.35">
      <c r="A6" s="4"/>
      <c r="B6" s="7" t="s">
        <v>7</v>
      </c>
      <c r="C6" s="4"/>
      <c r="D6" s="4"/>
      <c r="E6" s="4"/>
      <c r="F6" s="4"/>
      <c r="G6" s="4"/>
      <c r="H6" s="4"/>
      <c r="I6" s="4"/>
    </row>
    <row r="7" spans="1:10" x14ac:dyDescent="0.35">
      <c r="A7" s="4"/>
      <c r="B7" s="110">
        <f>'2. System Sizing'!B7</f>
        <v>450</v>
      </c>
      <c r="C7" s="525" t="s">
        <v>117</v>
      </c>
      <c r="D7" s="525"/>
      <c r="E7" s="525"/>
      <c r="F7" s="525"/>
      <c r="G7" s="525"/>
      <c r="H7" s="4"/>
      <c r="I7" s="4"/>
    </row>
    <row r="8" spans="1:10" ht="13.45" customHeight="1" x14ac:dyDescent="0.35">
      <c r="A8" s="4"/>
      <c r="B8" s="530" t="s">
        <v>204</v>
      </c>
      <c r="C8" s="530"/>
      <c r="D8" s="530"/>
      <c r="E8" s="530"/>
      <c r="F8" s="530"/>
      <c r="G8" s="530"/>
      <c r="H8" s="530"/>
      <c r="I8" s="530"/>
    </row>
    <row r="9" spans="1:10" x14ac:dyDescent="0.35">
      <c r="A9" s="4"/>
      <c r="B9" s="530"/>
      <c r="C9" s="530"/>
      <c r="D9" s="530"/>
      <c r="E9" s="530"/>
      <c r="F9" s="530"/>
      <c r="G9" s="530"/>
      <c r="H9" s="530"/>
      <c r="I9" s="530"/>
    </row>
    <row r="10" spans="1:10" x14ac:dyDescent="0.35">
      <c r="A10" s="4"/>
      <c r="B10" s="530"/>
      <c r="C10" s="530"/>
      <c r="D10" s="530"/>
      <c r="E10" s="530"/>
      <c r="F10" s="530"/>
      <c r="G10" s="530"/>
      <c r="H10" s="530"/>
      <c r="I10" s="530"/>
      <c r="J10" s="526" t="s">
        <v>2</v>
      </c>
    </row>
    <row r="11" spans="1:10" x14ac:dyDescent="0.35">
      <c r="A11" s="4"/>
      <c r="B11" s="530"/>
      <c r="C11" s="530"/>
      <c r="D11" s="530"/>
      <c r="E11" s="530"/>
      <c r="F11" s="530"/>
      <c r="G11" s="530"/>
      <c r="H11" s="530"/>
      <c r="I11" s="530"/>
      <c r="J11" s="526"/>
    </row>
    <row r="12" spans="1:10" x14ac:dyDescent="0.35">
      <c r="A12" s="4"/>
      <c r="B12" s="530"/>
      <c r="C12" s="530"/>
      <c r="D12" s="530"/>
      <c r="E12" s="530"/>
      <c r="F12" s="530"/>
      <c r="G12" s="530"/>
      <c r="H12" s="530"/>
      <c r="I12" s="530"/>
      <c r="J12" s="526"/>
    </row>
    <row r="13" spans="1:10" x14ac:dyDescent="0.35">
      <c r="A13" s="4"/>
      <c r="B13" s="530"/>
      <c r="C13" s="530"/>
      <c r="D13" s="530"/>
      <c r="E13" s="530"/>
      <c r="F13" s="530"/>
      <c r="G13" s="530"/>
      <c r="H13" s="530"/>
      <c r="I13" s="530"/>
      <c r="J13" s="526"/>
    </row>
    <row r="14" spans="1:10" x14ac:dyDescent="0.35">
      <c r="A14" s="4"/>
      <c r="B14" s="530"/>
      <c r="C14" s="530"/>
      <c r="D14" s="530"/>
      <c r="E14" s="530"/>
      <c r="F14" s="530"/>
      <c r="G14" s="530"/>
      <c r="H14" s="530"/>
      <c r="I14" s="530"/>
      <c r="J14" s="526"/>
    </row>
    <row r="15" spans="1:10" x14ac:dyDescent="0.35">
      <c r="A15" s="4"/>
      <c r="B15" s="530"/>
      <c r="C15" s="530"/>
      <c r="D15" s="530"/>
      <c r="E15" s="530"/>
      <c r="F15" s="530"/>
      <c r="G15" s="530"/>
      <c r="H15" s="530"/>
      <c r="I15" s="530"/>
      <c r="J15" s="526"/>
    </row>
    <row r="16" spans="1:10" x14ac:dyDescent="0.35">
      <c r="A16" s="4"/>
      <c r="B16" s="530"/>
      <c r="C16" s="530"/>
      <c r="D16" s="530"/>
      <c r="E16" s="530"/>
      <c r="F16" s="530"/>
      <c r="G16" s="530"/>
      <c r="H16" s="530"/>
      <c r="I16" s="530"/>
      <c r="J16" s="526"/>
    </row>
    <row r="17" spans="1:10" x14ac:dyDescent="0.35">
      <c r="A17" s="4"/>
      <c r="B17" s="530"/>
      <c r="C17" s="530"/>
      <c r="D17" s="530"/>
      <c r="E17" s="530"/>
      <c r="F17" s="530"/>
      <c r="G17" s="530"/>
      <c r="H17" s="530"/>
      <c r="I17" s="530"/>
      <c r="J17" s="526"/>
    </row>
    <row r="18" spans="1:10" x14ac:dyDescent="0.35">
      <c r="A18" s="4"/>
      <c r="B18" s="530"/>
      <c r="C18" s="530"/>
      <c r="D18" s="530"/>
      <c r="E18" s="530"/>
      <c r="F18" s="530"/>
      <c r="G18" s="530"/>
      <c r="H18" s="530"/>
      <c r="I18" s="530"/>
      <c r="J18" s="526"/>
    </row>
    <row r="19" spans="1:10" x14ac:dyDescent="0.35">
      <c r="A19" s="4"/>
      <c r="B19" s="530"/>
      <c r="C19" s="530"/>
      <c r="D19" s="530"/>
      <c r="E19" s="530"/>
      <c r="F19" s="530"/>
      <c r="G19" s="530"/>
      <c r="H19" s="530"/>
      <c r="I19" s="530"/>
      <c r="J19" s="526"/>
    </row>
    <row r="20" spans="1:10" ht="25.5" customHeight="1" x14ac:dyDescent="0.35">
      <c r="A20" s="4"/>
      <c r="B20" s="530"/>
      <c r="C20" s="530"/>
      <c r="D20" s="530"/>
      <c r="E20" s="530"/>
      <c r="F20" s="530"/>
      <c r="G20" s="530"/>
      <c r="H20" s="530"/>
      <c r="I20" s="530"/>
      <c r="J20" s="526"/>
    </row>
    <row r="21" spans="1:10" ht="13.15" x14ac:dyDescent="0.4">
      <c r="A21" s="4"/>
      <c r="B21" s="60" t="s">
        <v>3</v>
      </c>
      <c r="C21" s="60"/>
      <c r="D21" s="60"/>
      <c r="E21" s="60"/>
      <c r="F21" s="60"/>
      <c r="G21" s="60"/>
      <c r="H21" s="60"/>
      <c r="I21" s="8">
        <f>'2. System Sizing'!B13</f>
        <v>990000.00000000012</v>
      </c>
      <c r="J21" s="526"/>
    </row>
    <row r="22" spans="1:10" ht="13.15" x14ac:dyDescent="0.4">
      <c r="A22" s="4"/>
      <c r="B22" s="60" t="s">
        <v>60</v>
      </c>
      <c r="C22" s="60"/>
      <c r="D22" s="60"/>
      <c r="E22" s="60"/>
      <c r="F22" s="60"/>
      <c r="G22" s="60"/>
      <c r="H22" s="60"/>
      <c r="I22" s="8">
        <f>I21*0.3</f>
        <v>297000</v>
      </c>
      <c r="J22" s="526"/>
    </row>
    <row r="23" spans="1:10" ht="13.5" thickBot="1" x14ac:dyDescent="0.45">
      <c r="A23" s="4"/>
      <c r="B23" s="60" t="s">
        <v>64</v>
      </c>
      <c r="C23" s="60"/>
      <c r="D23" s="60"/>
      <c r="E23" s="60"/>
      <c r="F23" s="60"/>
      <c r="G23" s="62"/>
      <c r="H23" s="60"/>
      <c r="I23" s="15">
        <f>MIN(35000,I21*0.25)</f>
        <v>35000</v>
      </c>
      <c r="J23" s="526"/>
    </row>
    <row r="24" spans="1:10" ht="13.15" x14ac:dyDescent="0.4">
      <c r="A24" s="4"/>
      <c r="B24" s="145" t="s">
        <v>63</v>
      </c>
      <c r="C24" s="60"/>
      <c r="D24" s="60"/>
      <c r="E24" s="60"/>
      <c r="F24" s="60"/>
      <c r="G24" s="62"/>
      <c r="H24" s="60"/>
      <c r="I24" s="9">
        <f>I21-I22-I23</f>
        <v>658000.00000000012</v>
      </c>
      <c r="J24" s="526"/>
    </row>
    <row r="25" spans="1:10" ht="13.15" x14ac:dyDescent="0.4">
      <c r="A25" s="4"/>
      <c r="B25" s="60"/>
      <c r="C25" s="60"/>
      <c r="D25" s="60"/>
      <c r="E25" s="60"/>
      <c r="F25" s="60"/>
      <c r="G25" s="60"/>
      <c r="H25" s="60"/>
      <c r="I25" s="4"/>
      <c r="J25" s="526"/>
    </row>
    <row r="26" spans="1:10" ht="13.15" x14ac:dyDescent="0.4">
      <c r="A26" s="4"/>
      <c r="B26" s="529" t="s">
        <v>4</v>
      </c>
      <c r="C26" s="529"/>
      <c r="D26" s="63"/>
      <c r="E26" s="63"/>
      <c r="F26" s="63"/>
      <c r="G26" s="60"/>
      <c r="H26" s="60"/>
      <c r="I26" s="4"/>
    </row>
    <row r="27" spans="1:10" ht="13.15" x14ac:dyDescent="0.4">
      <c r="A27" s="4"/>
      <c r="B27" s="60"/>
      <c r="C27" s="60"/>
      <c r="D27" s="60" t="s">
        <v>5</v>
      </c>
      <c r="E27" s="60"/>
      <c r="F27" s="60"/>
      <c r="G27" s="60"/>
      <c r="H27" s="60"/>
      <c r="I27" s="8">
        <f>I21*0.65</f>
        <v>643500.00000000012</v>
      </c>
    </row>
    <row r="28" spans="1:10" ht="14.25" x14ac:dyDescent="0.45">
      <c r="A28" s="4"/>
      <c r="B28" s="60"/>
      <c r="C28" s="60"/>
      <c r="D28" s="263" t="s">
        <v>65</v>
      </c>
      <c r="E28" s="60"/>
      <c r="F28" s="60"/>
      <c r="G28" s="60"/>
      <c r="H28" s="61"/>
      <c r="I28" s="262">
        <f>I21-I27-I20</f>
        <v>346500</v>
      </c>
    </row>
    <row r="29" spans="1:10" ht="14.65" thickBot="1" x14ac:dyDescent="0.5">
      <c r="A29" s="4"/>
      <c r="B29" s="60"/>
      <c r="C29" s="60"/>
      <c r="D29" s="263" t="s">
        <v>44</v>
      </c>
      <c r="E29" s="60"/>
      <c r="F29" s="60"/>
      <c r="G29" s="60"/>
      <c r="H29" s="61"/>
      <c r="I29" s="15">
        <f>'2. System Sizing'!B12</f>
        <v>1500</v>
      </c>
    </row>
    <row r="30" spans="1:10" ht="13.15" x14ac:dyDescent="0.4">
      <c r="A30" s="4"/>
      <c r="B30" s="60"/>
      <c r="C30" s="60"/>
      <c r="D30" s="60"/>
      <c r="E30" s="60"/>
      <c r="F30" s="60"/>
      <c r="G30" s="60"/>
      <c r="H30" s="61" t="s">
        <v>32</v>
      </c>
      <c r="I30" s="8">
        <f>I27+I28</f>
        <v>990000.00000000012</v>
      </c>
    </row>
    <row r="31" spans="1:10" ht="13.15" x14ac:dyDescent="0.4">
      <c r="A31" s="4"/>
      <c r="B31" s="10"/>
      <c r="C31" s="10"/>
      <c r="D31" s="10"/>
      <c r="E31" s="10"/>
      <c r="F31" s="10"/>
      <c r="G31" s="10"/>
      <c r="H31" s="11"/>
      <c r="I31" s="4"/>
    </row>
    <row r="32" spans="1:10" ht="13.15" x14ac:dyDescent="0.4">
      <c r="A32" s="4"/>
      <c r="B32" s="10"/>
      <c r="C32" s="10"/>
      <c r="D32" s="10"/>
      <c r="E32" s="10"/>
      <c r="F32" s="10"/>
      <c r="G32" s="10"/>
      <c r="H32" s="11"/>
      <c r="I32" s="4"/>
    </row>
    <row r="33" spans="1:9" x14ac:dyDescent="0.35">
      <c r="A33" s="4"/>
      <c r="I33" s="4"/>
    </row>
    <row r="34" spans="1:9" x14ac:dyDescent="0.35">
      <c r="A34" s="4"/>
      <c r="I34" s="4"/>
    </row>
    <row r="35" spans="1:9" ht="11.45" customHeight="1" x14ac:dyDescent="0.35">
      <c r="B35" s="59"/>
      <c r="C35" s="527" t="s">
        <v>6</v>
      </c>
      <c r="D35" s="527"/>
      <c r="E35" s="527"/>
      <c r="F35" s="527"/>
      <c r="G35" s="527"/>
      <c r="H35" s="527"/>
      <c r="I35" s="59"/>
    </row>
    <row r="36" spans="1:9" x14ac:dyDescent="0.35">
      <c r="B36" s="59"/>
      <c r="C36" s="59"/>
      <c r="D36" s="59"/>
      <c r="E36" s="59"/>
      <c r="F36" s="59"/>
      <c r="G36" s="59"/>
      <c r="H36" s="59"/>
      <c r="I36" s="59"/>
    </row>
    <row r="37" spans="1:9" x14ac:dyDescent="0.35">
      <c r="B37" s="12"/>
      <c r="C37" s="12"/>
      <c r="D37" s="12"/>
      <c r="E37" s="12"/>
      <c r="G37" s="12"/>
      <c r="H37" s="12"/>
      <c r="I37" s="12"/>
    </row>
    <row r="38" spans="1:9" x14ac:dyDescent="0.35">
      <c r="B38" s="14" t="s">
        <v>61</v>
      </c>
      <c r="C38" s="13"/>
      <c r="D38" s="13"/>
      <c r="E38" s="105" t="s">
        <v>8</v>
      </c>
      <c r="F38" s="13"/>
      <c r="G38" s="13" t="s">
        <v>62</v>
      </c>
      <c r="H38" s="13"/>
      <c r="I38" s="13"/>
    </row>
    <row r="40" spans="1:9" ht="26.25" customHeight="1" x14ac:dyDescent="0.35">
      <c r="B40" s="877" t="s">
        <v>246</v>
      </c>
      <c r="C40" s="877"/>
      <c r="D40" s="877"/>
      <c r="E40" s="877"/>
      <c r="F40" s="877"/>
      <c r="G40" s="877"/>
      <c r="H40" s="877"/>
      <c r="I40" s="877"/>
    </row>
    <row r="41" spans="1:9" ht="24" customHeight="1" x14ac:dyDescent="0.35">
      <c r="B41" s="877"/>
      <c r="C41" s="877"/>
      <c r="D41" s="877"/>
      <c r="E41" s="877"/>
      <c r="F41" s="877"/>
      <c r="G41" s="877"/>
      <c r="H41" s="877"/>
      <c r="I41" s="877"/>
    </row>
    <row r="42" spans="1:9" x14ac:dyDescent="0.35">
      <c r="B42" s="877"/>
      <c r="C42" s="877"/>
      <c r="D42" s="877"/>
      <c r="E42" s="877"/>
      <c r="F42" s="877"/>
      <c r="G42" s="877"/>
      <c r="H42" s="877"/>
      <c r="I42" s="877"/>
    </row>
    <row r="43" spans="1:9" ht="17.25" customHeight="1" x14ac:dyDescent="0.35">
      <c r="B43" s="877"/>
      <c r="C43" s="877"/>
      <c r="D43" s="877"/>
      <c r="E43" s="877"/>
      <c r="F43" s="877"/>
      <c r="G43" s="877"/>
      <c r="H43" s="877"/>
      <c r="I43" s="877"/>
    </row>
    <row r="44" spans="1:9" x14ac:dyDescent="0.35">
      <c r="B44" s="886" t="s">
        <v>252</v>
      </c>
      <c r="C44" s="886"/>
      <c r="D44" s="886"/>
      <c r="E44" s="886"/>
      <c r="F44" s="886"/>
      <c r="G44" s="886"/>
      <c r="H44" s="886"/>
      <c r="I44" s="886"/>
    </row>
  </sheetData>
  <sheetProtection selectLockedCells="1"/>
  <mergeCells count="12">
    <mergeCell ref="B44:I44"/>
    <mergeCell ref="C7:G7"/>
    <mergeCell ref="J10:J25"/>
    <mergeCell ref="C35:H35"/>
    <mergeCell ref="B26:C26"/>
    <mergeCell ref="B8:I20"/>
    <mergeCell ref="B40:I43"/>
    <mergeCell ref="B2:D2"/>
    <mergeCell ref="B3:D3"/>
    <mergeCell ref="F3:H3"/>
    <mergeCell ref="B4:D4"/>
    <mergeCell ref="F4:H4"/>
  </mergeCells>
  <pageMargins left="0.7" right="0.7" top="2.42" bottom="0" header="0.3" footer="0.3"/>
  <pageSetup orientation="portrait" r:id="rId1"/>
  <headerFooter>
    <oddHeader xml:space="preserve">&amp;C
&amp;G&amp;"Arial,Bold"&amp;12
Memorandum of Understanding&amp;R&amp;"Cambria,Bold"&amp;8
&amp;D  </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pageSetUpPr autoPageBreaks="0" fitToPage="1"/>
  </sheetPr>
  <dimension ref="A1:O66"/>
  <sheetViews>
    <sheetView topLeftCell="A16" zoomScale="90" zoomScaleNormal="90" zoomScalePageLayoutView="70" workbookViewId="0">
      <selection activeCell="L55" sqref="L55"/>
    </sheetView>
  </sheetViews>
  <sheetFormatPr defaultColWidth="8.86328125" defaultRowHeight="12.75" x14ac:dyDescent="0.35"/>
  <cols>
    <col min="1" max="1" width="42.73046875" style="16" customWidth="1"/>
    <col min="2" max="2" width="12.86328125" style="16" customWidth="1"/>
    <col min="3" max="3" width="16.265625" style="16" customWidth="1"/>
    <col min="4" max="4" width="15.86328125" style="16" customWidth="1"/>
    <col min="5" max="5" width="21.86328125" style="16" customWidth="1"/>
    <col min="6" max="6" width="14.265625" style="16" customWidth="1"/>
    <col min="7" max="7" width="10.86328125" style="16" customWidth="1"/>
    <col min="8" max="8" width="11.265625" style="16" bestFit="1" customWidth="1"/>
    <col min="9" max="9" width="15.3984375" style="16" customWidth="1"/>
    <col min="10" max="10" width="22" style="16" customWidth="1"/>
    <col min="11" max="11" width="13" style="16" customWidth="1"/>
    <col min="12" max="12" width="12.265625" style="16" customWidth="1"/>
    <col min="13" max="13" width="17.265625" style="16" customWidth="1"/>
    <col min="14" max="14" width="11.3984375" style="16" customWidth="1"/>
    <col min="15" max="15" width="15.73046875" style="16" customWidth="1"/>
    <col min="16" max="16384" width="8.86328125" style="16"/>
  </cols>
  <sheetData>
    <row r="1" spans="1:15" ht="28.5" customHeight="1" x14ac:dyDescent="0.35">
      <c r="B1" s="532" t="s">
        <v>67</v>
      </c>
      <c r="C1" s="533"/>
      <c r="D1" s="533"/>
    </row>
    <row r="2" spans="1:15" ht="30" customHeight="1" x14ac:dyDescent="0.6">
      <c r="A2" s="206" t="str">
        <f>'1. ANNUAL USAGE '!C4</f>
        <v>Le Creuset</v>
      </c>
      <c r="B2" s="534" t="s">
        <v>86</v>
      </c>
      <c r="C2" s="534"/>
      <c r="D2" s="177">
        <f>'4. SC Quote'!I30</f>
        <v>990000.00000000012</v>
      </c>
      <c r="E2" s="176"/>
    </row>
    <row r="3" spans="1:15" ht="30" customHeight="1" thickBot="1" x14ac:dyDescent="0.4">
      <c r="A3" s="176"/>
      <c r="B3" s="237" t="s">
        <v>111</v>
      </c>
      <c r="C3" s="237"/>
      <c r="D3" s="255">
        <f>I35</f>
        <v>7.0502836941880975E-2</v>
      </c>
      <c r="E3" s="176"/>
    </row>
    <row r="4" spans="1:15" ht="16.5" customHeight="1" thickTop="1" x14ac:dyDescent="0.4">
      <c r="A4" s="17"/>
      <c r="B4" s="539" t="s">
        <v>194</v>
      </c>
      <c r="C4" s="540"/>
      <c r="D4" s="541"/>
      <c r="E4" s="17"/>
      <c r="F4" s="18"/>
      <c r="G4" s="18"/>
      <c r="H4" s="17"/>
      <c r="I4" s="19"/>
      <c r="J4" s="20"/>
      <c r="K4" s="17"/>
      <c r="L4" s="17"/>
      <c r="M4" s="17"/>
      <c r="N4" s="17"/>
      <c r="O4" s="18"/>
    </row>
    <row r="5" spans="1:15" ht="15.75" customHeight="1" x14ac:dyDescent="0.35">
      <c r="B5" s="542"/>
      <c r="C5" s="543"/>
      <c r="D5" s="544"/>
      <c r="E5" s="21"/>
      <c r="F5" s="21"/>
      <c r="G5" s="21"/>
      <c r="H5" s="22"/>
      <c r="I5" s="531" t="s">
        <v>114</v>
      </c>
      <c r="J5" s="23"/>
      <c r="K5" s="24"/>
      <c r="L5" s="25"/>
      <c r="M5" s="26"/>
      <c r="N5" s="21"/>
      <c r="O5" s="27"/>
    </row>
    <row r="6" spans="1:15" ht="12.75" customHeight="1" x14ac:dyDescent="0.35">
      <c r="B6" s="451">
        <f>'2. System Sizing'!B7</f>
        <v>450</v>
      </c>
      <c r="C6" s="452" t="s">
        <v>206</v>
      </c>
      <c r="D6" s="453"/>
      <c r="G6" s="37" t="s">
        <v>195</v>
      </c>
      <c r="I6" s="531"/>
    </row>
    <row r="7" spans="1:15" ht="13.15" thickBot="1" x14ac:dyDescent="0.4">
      <c r="B7" s="47"/>
      <c r="C7" s="535" t="s">
        <v>58</v>
      </c>
      <c r="D7" s="537" t="s">
        <v>59</v>
      </c>
      <c r="G7" s="37"/>
      <c r="I7" s="28"/>
      <c r="J7" s="29"/>
    </row>
    <row r="8" spans="1:15" ht="13.15" thickTop="1" x14ac:dyDescent="0.35">
      <c r="B8" s="48"/>
      <c r="C8" s="536"/>
      <c r="D8" s="538"/>
      <c r="G8" s="42">
        <f>'3. Pre-Post Solar Costs'!F15</f>
        <v>51660.995651838792</v>
      </c>
      <c r="I8" s="240">
        <f>C9</f>
        <v>-990000.00000000012</v>
      </c>
      <c r="K8" s="16">
        <f>'4. SC Quote'!I23</f>
        <v>35000</v>
      </c>
    </row>
    <row r="9" spans="1:15" x14ac:dyDescent="0.35">
      <c r="B9" s="49" t="s">
        <v>11</v>
      </c>
      <c r="C9" s="46">
        <f>'4. SC Quote'!I30*-1</f>
        <v>-990000.00000000012</v>
      </c>
      <c r="D9" s="57">
        <f>G8+'4. SC Quote'!I23+L9</f>
        <v>90160.995651838792</v>
      </c>
      <c r="G9" s="42">
        <f>G8*1.045</f>
        <v>53985.74045617153</v>
      </c>
      <c r="I9" s="244">
        <f>D9</f>
        <v>90160.995651838792</v>
      </c>
      <c r="K9" s="16">
        <f>MAX(K8-3500,0)</f>
        <v>31500</v>
      </c>
      <c r="L9" s="16">
        <f>K8-K9</f>
        <v>3500</v>
      </c>
    </row>
    <row r="10" spans="1:15" x14ac:dyDescent="0.35">
      <c r="B10" s="49" t="s">
        <v>12</v>
      </c>
      <c r="C10" s="46">
        <f t="shared" ref="C10:C33" si="0">C9+D9</f>
        <v>-899839.00434816128</v>
      </c>
      <c r="D10" s="57">
        <f>G9+L10</f>
        <v>57485.74045617153</v>
      </c>
      <c r="G10" s="42">
        <f t="shared" ref="G10:G32" si="1">G9*1.045</f>
        <v>56415.098776699248</v>
      </c>
      <c r="I10" s="244">
        <f t="shared" ref="I10:I32" si="2">D10</f>
        <v>57485.74045617153</v>
      </c>
      <c r="K10" s="16">
        <f t="shared" ref="K10:K18" si="3">MAX(K9-3500,0)</f>
        <v>28000</v>
      </c>
      <c r="L10" s="16">
        <f t="shared" ref="L10:L18" si="4">K9-K10</f>
        <v>3500</v>
      </c>
    </row>
    <row r="11" spans="1:15" ht="13.15" x14ac:dyDescent="0.4">
      <c r="B11" s="49" t="s">
        <v>13</v>
      </c>
      <c r="C11" s="46">
        <f t="shared" si="0"/>
        <v>-842353.26389198971</v>
      </c>
      <c r="D11" s="57">
        <f>G10+L11</f>
        <v>59915.098776699248</v>
      </c>
      <c r="F11" s="30"/>
      <c r="G11" s="42">
        <f t="shared" si="1"/>
        <v>58953.778221650711</v>
      </c>
      <c r="I11" s="244">
        <f t="shared" si="2"/>
        <v>59915.098776699248</v>
      </c>
      <c r="J11" s="31"/>
      <c r="K11" s="16">
        <f t="shared" si="3"/>
        <v>24500</v>
      </c>
      <c r="L11" s="16">
        <f t="shared" si="4"/>
        <v>3500</v>
      </c>
      <c r="M11" s="27"/>
      <c r="N11" s="21"/>
    </row>
    <row r="12" spans="1:15" x14ac:dyDescent="0.35">
      <c r="B12" s="49" t="s">
        <v>14</v>
      </c>
      <c r="C12" s="46">
        <f t="shared" si="0"/>
        <v>-782438.16511529044</v>
      </c>
      <c r="D12" s="57">
        <f t="shared" ref="D12" si="5">G11*1.35+L12</f>
        <v>83087.600599228463</v>
      </c>
      <c r="F12" s="16" t="s">
        <v>47</v>
      </c>
      <c r="G12" s="42">
        <f t="shared" si="1"/>
        <v>61606.698241624988</v>
      </c>
      <c r="H12" s="21"/>
      <c r="I12" s="244">
        <f t="shared" si="2"/>
        <v>83087.600599228463</v>
      </c>
      <c r="K12" s="16">
        <f t="shared" si="3"/>
        <v>21000</v>
      </c>
      <c r="L12" s="16">
        <f t="shared" si="4"/>
        <v>3500</v>
      </c>
    </row>
    <row r="13" spans="1:15" x14ac:dyDescent="0.35">
      <c r="B13" s="49" t="s">
        <v>15</v>
      </c>
      <c r="C13" s="46">
        <f t="shared" si="0"/>
        <v>-699350.56451606192</v>
      </c>
      <c r="D13" s="57">
        <f t="shared" ref="D13:D18" si="6">G12+L13</f>
        <v>65106.698241624988</v>
      </c>
      <c r="G13" s="42">
        <f t="shared" si="1"/>
        <v>64378.999662498107</v>
      </c>
      <c r="H13" s="21"/>
      <c r="I13" s="244">
        <f t="shared" si="2"/>
        <v>65106.698241624988</v>
      </c>
      <c r="K13" s="16">
        <f t="shared" si="3"/>
        <v>17500</v>
      </c>
      <c r="L13" s="16">
        <f t="shared" si="4"/>
        <v>3500</v>
      </c>
    </row>
    <row r="14" spans="1:15" x14ac:dyDescent="0.35">
      <c r="B14" s="49" t="s">
        <v>16</v>
      </c>
      <c r="C14" s="46">
        <f t="shared" si="0"/>
        <v>-634243.86627443694</v>
      </c>
      <c r="D14" s="57">
        <f t="shared" si="6"/>
        <v>67878.999662498099</v>
      </c>
      <c r="G14" s="42">
        <f t="shared" si="1"/>
        <v>67276.054647310521</v>
      </c>
      <c r="H14" s="21"/>
      <c r="I14" s="244">
        <f t="shared" si="2"/>
        <v>67878.999662498099</v>
      </c>
      <c r="K14" s="16">
        <f t="shared" si="3"/>
        <v>14000</v>
      </c>
      <c r="L14" s="16">
        <f t="shared" si="4"/>
        <v>3500</v>
      </c>
    </row>
    <row r="15" spans="1:15" ht="13.15" x14ac:dyDescent="0.4">
      <c r="B15" s="49" t="s">
        <v>17</v>
      </c>
      <c r="C15" s="55">
        <f t="shared" si="0"/>
        <v>-566364.86661193881</v>
      </c>
      <c r="D15" s="57">
        <f t="shared" si="6"/>
        <v>70776.054647310521</v>
      </c>
      <c r="F15" s="31"/>
      <c r="G15" s="42">
        <f t="shared" si="1"/>
        <v>70303.477106439488</v>
      </c>
      <c r="H15" s="33"/>
      <c r="I15" s="244">
        <f t="shared" si="2"/>
        <v>70776.054647310521</v>
      </c>
      <c r="K15" s="16">
        <f t="shared" si="3"/>
        <v>10500</v>
      </c>
      <c r="L15" s="16">
        <f t="shared" si="4"/>
        <v>3500</v>
      </c>
    </row>
    <row r="16" spans="1:15" ht="13.15" x14ac:dyDescent="0.4">
      <c r="B16" s="49" t="s">
        <v>18</v>
      </c>
      <c r="C16" s="55">
        <f t="shared" si="0"/>
        <v>-495588.81196462829</v>
      </c>
      <c r="D16" s="57">
        <f t="shared" si="6"/>
        <v>73803.477106439488</v>
      </c>
      <c r="G16" s="42">
        <f t="shared" si="1"/>
        <v>73467.133576229258</v>
      </c>
      <c r="I16" s="244">
        <f t="shared" si="2"/>
        <v>73803.477106439488</v>
      </c>
      <c r="J16" s="31"/>
      <c r="K16" s="16">
        <f t="shared" si="3"/>
        <v>7000</v>
      </c>
      <c r="L16" s="16">
        <f t="shared" si="4"/>
        <v>3500</v>
      </c>
    </row>
    <row r="17" spans="2:14" x14ac:dyDescent="0.35">
      <c r="B17" s="49" t="s">
        <v>19</v>
      </c>
      <c r="C17" s="55">
        <f t="shared" si="0"/>
        <v>-421785.33485818881</v>
      </c>
      <c r="D17" s="57">
        <f t="shared" si="6"/>
        <v>76967.133576229258</v>
      </c>
      <c r="E17" s="27"/>
      <c r="G17" s="42">
        <f t="shared" si="1"/>
        <v>76773.154587159574</v>
      </c>
      <c r="I17" s="244">
        <f t="shared" si="2"/>
        <v>76967.133576229258</v>
      </c>
      <c r="K17" s="16">
        <f t="shared" si="3"/>
        <v>3500</v>
      </c>
      <c r="L17" s="16">
        <f t="shared" si="4"/>
        <v>3500</v>
      </c>
    </row>
    <row r="18" spans="2:14" x14ac:dyDescent="0.35">
      <c r="B18" s="49" t="s">
        <v>20</v>
      </c>
      <c r="C18" s="55">
        <f t="shared" si="0"/>
        <v>-344818.20128195954</v>
      </c>
      <c r="D18" s="57">
        <f t="shared" si="6"/>
        <v>80273.154587159574</v>
      </c>
      <c r="G18" s="42">
        <f t="shared" si="1"/>
        <v>80227.946543581755</v>
      </c>
      <c r="H18" s="27"/>
      <c r="I18" s="244">
        <f t="shared" si="2"/>
        <v>80273.154587159574</v>
      </c>
      <c r="J18" s="27"/>
      <c r="K18" s="16">
        <f t="shared" si="3"/>
        <v>0</v>
      </c>
      <c r="L18" s="16">
        <f t="shared" si="4"/>
        <v>3500</v>
      </c>
    </row>
    <row r="19" spans="2:14" x14ac:dyDescent="0.35">
      <c r="B19" s="49" t="s">
        <v>21</v>
      </c>
      <c r="C19" s="55">
        <f t="shared" si="0"/>
        <v>-264545.04669479997</v>
      </c>
      <c r="D19" s="57">
        <f>G18</f>
        <v>80227.946543581755</v>
      </c>
      <c r="G19" s="42">
        <f t="shared" si="1"/>
        <v>83838.204138042929</v>
      </c>
      <c r="I19" s="244">
        <f t="shared" si="2"/>
        <v>80227.946543581755</v>
      </c>
    </row>
    <row r="20" spans="2:14" x14ac:dyDescent="0.35">
      <c r="B20" s="49" t="s">
        <v>22</v>
      </c>
      <c r="C20" s="55">
        <f t="shared" si="0"/>
        <v>-184317.10015121821</v>
      </c>
      <c r="D20" s="57">
        <f t="shared" ref="D20:D33" si="7">G19</f>
        <v>83838.204138042929</v>
      </c>
      <c r="G20" s="42">
        <f t="shared" si="1"/>
        <v>87610.923324254851</v>
      </c>
      <c r="I20" s="244">
        <f t="shared" si="2"/>
        <v>83838.204138042929</v>
      </c>
    </row>
    <row r="21" spans="2:14" ht="13.15" customHeight="1" x14ac:dyDescent="0.35">
      <c r="B21" s="49" t="s">
        <v>23</v>
      </c>
      <c r="C21" s="55">
        <f t="shared" si="0"/>
        <v>-100478.89601317528</v>
      </c>
      <c r="D21" s="57">
        <f t="shared" si="7"/>
        <v>87610.923324254851</v>
      </c>
      <c r="E21" s="29"/>
      <c r="G21" s="42">
        <f t="shared" si="1"/>
        <v>91553.414873846312</v>
      </c>
      <c r="I21" s="244">
        <f t="shared" si="2"/>
        <v>87610.923324254851</v>
      </c>
    </row>
    <row r="22" spans="2:14" x14ac:dyDescent="0.35">
      <c r="B22" s="49" t="s">
        <v>24</v>
      </c>
      <c r="C22" s="55">
        <f t="shared" si="0"/>
        <v>-12867.972688920432</v>
      </c>
      <c r="D22" s="57">
        <f t="shared" si="7"/>
        <v>91553.414873846312</v>
      </c>
      <c r="E22" s="29"/>
      <c r="G22" s="42">
        <f t="shared" si="1"/>
        <v>95673.318543169386</v>
      </c>
      <c r="I22" s="244">
        <f t="shared" si="2"/>
        <v>91553.414873846312</v>
      </c>
    </row>
    <row r="23" spans="2:14" x14ac:dyDescent="0.35">
      <c r="B23" s="49" t="s">
        <v>25</v>
      </c>
      <c r="C23" s="55">
        <f t="shared" si="0"/>
        <v>78685.44218492588</v>
      </c>
      <c r="D23" s="57">
        <f t="shared" si="7"/>
        <v>95673.318543169386</v>
      </c>
      <c r="E23" s="34"/>
      <c r="G23" s="42">
        <f t="shared" si="1"/>
        <v>99978.617877612007</v>
      </c>
      <c r="I23" s="244">
        <f t="shared" si="2"/>
        <v>95673.318543169386</v>
      </c>
    </row>
    <row r="24" spans="2:14" x14ac:dyDescent="0.35">
      <c r="B24" s="49" t="s">
        <v>26</v>
      </c>
      <c r="C24" s="55">
        <f t="shared" si="0"/>
        <v>174358.76072809525</v>
      </c>
      <c r="D24" s="57">
        <f t="shared" si="7"/>
        <v>99978.617877612007</v>
      </c>
      <c r="E24" s="34"/>
      <c r="G24" s="42">
        <f t="shared" si="1"/>
        <v>104477.65568210454</v>
      </c>
      <c r="H24" s="29"/>
      <c r="I24" s="244">
        <f t="shared" si="2"/>
        <v>99978.617877612007</v>
      </c>
    </row>
    <row r="25" spans="2:14" x14ac:dyDescent="0.35">
      <c r="B25" s="49" t="s">
        <v>27</v>
      </c>
      <c r="C25" s="55">
        <f t="shared" si="0"/>
        <v>274337.37860570726</v>
      </c>
      <c r="D25" s="57">
        <f t="shared" si="7"/>
        <v>104477.65568210454</v>
      </c>
      <c r="G25" s="42">
        <f t="shared" si="1"/>
        <v>109179.15018779924</v>
      </c>
      <c r="I25" s="244">
        <f t="shared" si="2"/>
        <v>104477.65568210454</v>
      </c>
      <c r="L25" s="27"/>
    </row>
    <row r="26" spans="2:14" x14ac:dyDescent="0.35">
      <c r="B26" s="49" t="s">
        <v>28</v>
      </c>
      <c r="C26" s="55">
        <f t="shared" si="0"/>
        <v>378815.03428781178</v>
      </c>
      <c r="D26" s="57">
        <f t="shared" si="7"/>
        <v>109179.15018779924</v>
      </c>
      <c r="G26" s="42">
        <f t="shared" si="1"/>
        <v>114092.2119462502</v>
      </c>
      <c r="I26" s="244">
        <f t="shared" si="2"/>
        <v>109179.15018779924</v>
      </c>
    </row>
    <row r="27" spans="2:14" x14ac:dyDescent="0.35">
      <c r="B27" s="49" t="s">
        <v>29</v>
      </c>
      <c r="C27" s="55">
        <f t="shared" si="0"/>
        <v>487994.18447561102</v>
      </c>
      <c r="D27" s="57">
        <f t="shared" si="7"/>
        <v>114092.2119462502</v>
      </c>
      <c r="G27" s="42">
        <f t="shared" si="1"/>
        <v>119226.36148383145</v>
      </c>
      <c r="I27" s="244">
        <f t="shared" si="2"/>
        <v>114092.2119462502</v>
      </c>
      <c r="N27" s="35"/>
    </row>
    <row r="28" spans="2:14" x14ac:dyDescent="0.35">
      <c r="B28" s="49" t="s">
        <v>30</v>
      </c>
      <c r="C28" s="55">
        <f t="shared" si="0"/>
        <v>602086.39642186125</v>
      </c>
      <c r="D28" s="57">
        <f t="shared" si="7"/>
        <v>119226.36148383145</v>
      </c>
      <c r="G28" s="42">
        <f t="shared" si="1"/>
        <v>124591.54775060386</v>
      </c>
      <c r="I28" s="244">
        <f t="shared" si="2"/>
        <v>119226.36148383145</v>
      </c>
    </row>
    <row r="29" spans="2:14" x14ac:dyDescent="0.35">
      <c r="B29" s="49" t="s">
        <v>33</v>
      </c>
      <c r="C29" s="55">
        <f t="shared" si="0"/>
        <v>721312.75790569268</v>
      </c>
      <c r="D29" s="57">
        <f t="shared" si="7"/>
        <v>124591.54775060386</v>
      </c>
      <c r="G29" s="42">
        <f t="shared" si="1"/>
        <v>130198.16739938103</v>
      </c>
      <c r="I29" s="244">
        <f t="shared" si="2"/>
        <v>124591.54775060386</v>
      </c>
    </row>
    <row r="30" spans="2:14" x14ac:dyDescent="0.35">
      <c r="B30" s="49" t="s">
        <v>34</v>
      </c>
      <c r="C30" s="55">
        <f t="shared" si="0"/>
        <v>845904.30565629655</v>
      </c>
      <c r="D30" s="57">
        <f t="shared" si="7"/>
        <v>130198.16739938103</v>
      </c>
      <c r="G30" s="42">
        <f t="shared" si="1"/>
        <v>136057.08493235317</v>
      </c>
      <c r="I30" s="244">
        <f t="shared" si="2"/>
        <v>130198.16739938103</v>
      </c>
    </row>
    <row r="31" spans="2:14" x14ac:dyDescent="0.35">
      <c r="B31" s="49" t="s">
        <v>35</v>
      </c>
      <c r="C31" s="55">
        <f t="shared" si="0"/>
        <v>976102.4730556776</v>
      </c>
      <c r="D31" s="57">
        <f t="shared" si="7"/>
        <v>136057.08493235317</v>
      </c>
      <c r="G31" s="42">
        <f t="shared" si="1"/>
        <v>142179.65375430905</v>
      </c>
      <c r="I31" s="244">
        <f t="shared" si="2"/>
        <v>136057.08493235317</v>
      </c>
    </row>
    <row r="32" spans="2:14" x14ac:dyDescent="0.35">
      <c r="B32" s="49" t="s">
        <v>36</v>
      </c>
      <c r="C32" s="55">
        <f t="shared" si="0"/>
        <v>1112159.5579880308</v>
      </c>
      <c r="D32" s="57">
        <f t="shared" si="7"/>
        <v>142179.65375430905</v>
      </c>
      <c r="G32" s="42">
        <f t="shared" si="1"/>
        <v>148577.73817325296</v>
      </c>
      <c r="I32" s="244">
        <f t="shared" si="2"/>
        <v>142179.65375430905</v>
      </c>
    </row>
    <row r="33" spans="1:10" ht="13.15" thickBot="1" x14ac:dyDescent="0.4">
      <c r="B33" s="50" t="s">
        <v>37</v>
      </c>
      <c r="C33" s="56">
        <f t="shared" si="0"/>
        <v>1254339.2117423399</v>
      </c>
      <c r="D33" s="58">
        <f t="shared" si="7"/>
        <v>148577.73817325296</v>
      </c>
      <c r="G33" s="42"/>
      <c r="I33" s="245">
        <f>D33</f>
        <v>148577.73817325296</v>
      </c>
    </row>
    <row r="34" spans="1:10" ht="13.9" thickTop="1" thickBot="1" x14ac:dyDescent="0.45">
      <c r="B34" s="31" t="s">
        <v>9</v>
      </c>
    </row>
    <row r="35" spans="1:10" ht="13.9" thickTop="1" thickBot="1" x14ac:dyDescent="0.45">
      <c r="B35" s="27"/>
      <c r="H35" s="242" t="s">
        <v>112</v>
      </c>
      <c r="I35" s="243">
        <f>IRR(I8:I33)</f>
        <v>7.0502836941880975E-2</v>
      </c>
    </row>
    <row r="36" spans="1:10" ht="13.15" thickTop="1" x14ac:dyDescent="0.35">
      <c r="B36" s="27"/>
    </row>
    <row r="38" spans="1:10" ht="12.75" customHeight="1" x14ac:dyDescent="0.35">
      <c r="A38" s="36"/>
      <c r="E38" s="36"/>
      <c r="F38" s="36"/>
      <c r="G38" s="36"/>
    </row>
    <row r="39" spans="1:10" ht="12.75" customHeight="1" x14ac:dyDescent="0.35">
      <c r="A39" s="36"/>
      <c r="E39" s="36"/>
      <c r="F39" s="36"/>
      <c r="G39" s="36"/>
    </row>
    <row r="40" spans="1:10" x14ac:dyDescent="0.35">
      <c r="A40" s="36"/>
      <c r="F40" s="37"/>
      <c r="G40" s="37"/>
    </row>
    <row r="41" spans="1:10" ht="8.1999999999999993" customHeight="1" x14ac:dyDescent="0.35">
      <c r="A41" s="36"/>
      <c r="G41" s="37"/>
    </row>
    <row r="42" spans="1:10" x14ac:dyDescent="0.35">
      <c r="A42" s="36"/>
      <c r="F42" s="38"/>
      <c r="G42" s="39"/>
    </row>
    <row r="43" spans="1:10" x14ac:dyDescent="0.35">
      <c r="A43" s="36"/>
      <c r="F43" s="36"/>
      <c r="G43" s="40"/>
      <c r="I43" s="27"/>
    </row>
    <row r="44" spans="1:10" x14ac:dyDescent="0.35">
      <c r="A44" s="36"/>
      <c r="F44" s="36"/>
      <c r="G44" s="40"/>
      <c r="I44" s="27"/>
    </row>
    <row r="45" spans="1:10" x14ac:dyDescent="0.35">
      <c r="A45" s="36"/>
      <c r="F45" s="36"/>
      <c r="G45" s="40"/>
      <c r="I45" s="27"/>
      <c r="J45" s="21"/>
    </row>
    <row r="46" spans="1:10" x14ac:dyDescent="0.35">
      <c r="A46" s="36"/>
      <c r="F46" s="36"/>
      <c r="G46" s="40"/>
      <c r="I46" s="27"/>
      <c r="J46" s="32"/>
    </row>
    <row r="47" spans="1:10" x14ac:dyDescent="0.35">
      <c r="A47" s="36"/>
      <c r="F47" s="36"/>
      <c r="G47" s="40"/>
      <c r="I47" s="27"/>
      <c r="J47" s="21"/>
    </row>
    <row r="48" spans="1:10" x14ac:dyDescent="0.35">
      <c r="A48" s="36"/>
      <c r="F48" s="36"/>
      <c r="G48" s="40"/>
    </row>
    <row r="49" spans="1:11" x14ac:dyDescent="0.35">
      <c r="A49" s="36"/>
      <c r="F49" s="36"/>
      <c r="G49" s="40"/>
      <c r="K49" s="32"/>
    </row>
    <row r="50" spans="1:11" x14ac:dyDescent="0.35">
      <c r="A50" s="36"/>
      <c r="F50" s="36"/>
      <c r="G50" s="40"/>
    </row>
    <row r="51" spans="1:11" x14ac:dyDescent="0.35">
      <c r="A51" s="36"/>
      <c r="F51" s="36"/>
      <c r="G51" s="40"/>
    </row>
    <row r="52" spans="1:11" ht="23.25" customHeight="1" x14ac:dyDescent="0.35">
      <c r="A52" s="528" t="s">
        <v>251</v>
      </c>
      <c r="B52" s="647"/>
      <c r="C52" s="647"/>
      <c r="D52" s="647"/>
      <c r="E52" s="647"/>
      <c r="F52" s="647"/>
      <c r="G52" s="175"/>
      <c r="H52" s="175"/>
      <c r="I52" s="175"/>
    </row>
    <row r="53" spans="1:11" ht="60.75" customHeight="1" x14ac:dyDescent="0.35">
      <c r="A53" s="647"/>
      <c r="B53" s="647"/>
      <c r="C53" s="647"/>
      <c r="D53" s="647"/>
      <c r="E53" s="647"/>
      <c r="F53" s="647"/>
      <c r="G53" s="175"/>
      <c r="H53" s="175"/>
      <c r="I53" s="175"/>
    </row>
    <row r="54" spans="1:11" x14ac:dyDescent="0.35">
      <c r="A54" s="99"/>
      <c r="B54" s="99"/>
      <c r="C54" s="99"/>
      <c r="D54" s="99"/>
      <c r="E54" s="99"/>
      <c r="F54" s="36"/>
      <c r="G54" s="40"/>
    </row>
    <row r="55" spans="1:11" x14ac:dyDescent="0.35">
      <c r="A55" s="36"/>
      <c r="F55" s="36"/>
      <c r="G55" s="40"/>
    </row>
    <row r="56" spans="1:11" x14ac:dyDescent="0.35">
      <c r="A56" s="36"/>
      <c r="F56" s="36"/>
      <c r="G56" s="40"/>
    </row>
    <row r="57" spans="1:11" x14ac:dyDescent="0.35">
      <c r="A57" s="36"/>
      <c r="F57" s="36"/>
      <c r="G57" s="40"/>
    </row>
    <row r="58" spans="1:11" x14ac:dyDescent="0.35">
      <c r="A58" s="36"/>
      <c r="F58" s="36"/>
      <c r="G58" s="40"/>
    </row>
    <row r="59" spans="1:11" x14ac:dyDescent="0.35">
      <c r="A59" s="36"/>
      <c r="F59" s="36"/>
      <c r="G59" s="40"/>
    </row>
    <row r="60" spans="1:11" x14ac:dyDescent="0.35">
      <c r="A60" s="36"/>
      <c r="F60" s="36"/>
      <c r="G60" s="40"/>
    </row>
    <row r="61" spans="1:11" x14ac:dyDescent="0.35">
      <c r="A61" s="36"/>
      <c r="F61" s="36"/>
      <c r="G61" s="40"/>
    </row>
    <row r="62" spans="1:11" x14ac:dyDescent="0.35">
      <c r="A62" s="36"/>
      <c r="B62" s="36"/>
      <c r="C62" s="36"/>
      <c r="D62" s="41"/>
      <c r="E62" s="36"/>
      <c r="F62" s="36"/>
      <c r="G62" s="36"/>
    </row>
    <row r="63" spans="1:11" x14ac:dyDescent="0.35">
      <c r="A63" s="36"/>
      <c r="B63" s="36"/>
      <c r="C63" s="36"/>
      <c r="D63" s="36"/>
      <c r="E63" s="36"/>
      <c r="F63" s="36"/>
      <c r="G63" s="36"/>
    </row>
    <row r="64" spans="1:11" x14ac:dyDescent="0.35">
      <c r="A64" s="36"/>
      <c r="B64" s="36"/>
      <c r="C64" s="36"/>
      <c r="D64" s="36"/>
      <c r="E64" s="36"/>
      <c r="F64" s="36"/>
      <c r="G64" s="36"/>
    </row>
    <row r="65" spans="1:7" x14ac:dyDescent="0.35">
      <c r="A65" s="36"/>
      <c r="B65" s="36"/>
      <c r="C65" s="36"/>
      <c r="D65" s="36"/>
      <c r="E65" s="36"/>
      <c r="F65" s="36"/>
      <c r="G65" s="36"/>
    </row>
    <row r="66" spans="1:7" x14ac:dyDescent="0.35">
      <c r="A66" s="36"/>
      <c r="B66" s="36"/>
      <c r="C66" s="36"/>
      <c r="D66" s="36"/>
      <c r="E66" s="36"/>
      <c r="F66" s="36"/>
      <c r="G66" s="36"/>
    </row>
  </sheetData>
  <sheetProtection selectLockedCells="1"/>
  <mergeCells count="7">
    <mergeCell ref="I5:I6"/>
    <mergeCell ref="A52:F53"/>
    <mergeCell ref="B1:D1"/>
    <mergeCell ref="B2:C2"/>
    <mergeCell ref="C7:C8"/>
    <mergeCell ref="D7:D8"/>
    <mergeCell ref="B4:D5"/>
  </mergeCells>
  <pageMargins left="0.7" right="0.7" top="2.3138392857142858" bottom="0.75" header="0.3" footer="0.3"/>
  <pageSetup scale="73" fitToWidth="0" orientation="portrait" r:id="rId1"/>
  <headerFooter>
    <oddHeader>&amp;C
&amp;G</oddHeader>
    <oddFooter>&amp;C&amp;"Arial,Bold"2 Corpus Christi Place Suite 200, Hilton Head, SC 29928          844.765.2793       www.coastalsolar.com</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U44"/>
  <sheetViews>
    <sheetView showGridLines="0" topLeftCell="A4" zoomScale="80" zoomScaleNormal="80" zoomScaleSheetLayoutView="55" workbookViewId="0">
      <selection activeCell="C41" sqref="C41:K43"/>
    </sheetView>
  </sheetViews>
  <sheetFormatPr defaultColWidth="9.1328125" defaultRowHeight="12.75" x14ac:dyDescent="0.35"/>
  <cols>
    <col min="2" max="2" width="1.73046875" style="16" customWidth="1"/>
    <col min="3" max="3" width="16.73046875" style="16" customWidth="1"/>
    <col min="4" max="4" width="15.265625" style="16" customWidth="1"/>
    <col min="5" max="5" width="24.73046875" style="16" customWidth="1"/>
    <col min="6" max="6" width="14.59765625" style="16" customWidth="1"/>
    <col min="7" max="7" width="13.86328125" style="16" customWidth="1"/>
    <col min="8" max="8" width="37.265625" style="16" bestFit="1" customWidth="1"/>
    <col min="9" max="9" width="17" style="16" customWidth="1"/>
    <col min="10" max="10" width="11.1328125" style="16" customWidth="1"/>
    <col min="11" max="11" width="21.86328125" style="16" customWidth="1"/>
    <col min="12" max="12" width="13.59765625" style="16" bestFit="1" customWidth="1"/>
    <col min="13" max="13" width="11.59765625" style="16" customWidth="1"/>
    <col min="14" max="14" width="14.1328125" style="16" customWidth="1"/>
    <col min="15" max="15" width="1.59765625" style="16" customWidth="1"/>
    <col min="16" max="16" width="22.73046875" style="16" bestFit="1" customWidth="1"/>
    <col min="17" max="17" width="1.86328125" style="16" customWidth="1"/>
    <col min="18" max="18" width="11.59765625" style="16" customWidth="1"/>
    <col min="19" max="19" width="15.73046875" style="16" customWidth="1"/>
    <col min="20" max="16384" width="9.1328125" style="16"/>
  </cols>
  <sheetData>
    <row r="1" spans="2:21" ht="13.15" thickBot="1" x14ac:dyDescent="0.4"/>
    <row r="2" spans="2:21" ht="24.95" customHeight="1" thickTop="1" x14ac:dyDescent="0.35">
      <c r="B2" s="213"/>
      <c r="C2" s="213"/>
      <c r="D2" s="211"/>
      <c r="E2" s="211"/>
      <c r="F2" s="211"/>
      <c r="G2" s="211"/>
      <c r="H2" s="211"/>
      <c r="I2" s="211"/>
      <c r="J2" s="211"/>
      <c r="K2" s="212"/>
    </row>
    <row r="3" spans="2:21" ht="49.5" customHeight="1" x14ac:dyDescent="0.35">
      <c r="B3" s="113"/>
      <c r="C3" s="113"/>
      <c r="D3" s="114"/>
      <c r="E3" s="114"/>
      <c r="F3" s="114"/>
      <c r="G3" s="207"/>
      <c r="H3" s="208"/>
      <c r="I3" s="209"/>
      <c r="J3" s="114"/>
      <c r="K3" s="115"/>
    </row>
    <row r="4" spans="2:21" ht="24.95" customHeight="1" x14ac:dyDescent="0.7">
      <c r="B4" s="113"/>
      <c r="C4" s="113"/>
      <c r="D4" s="114"/>
      <c r="E4" s="114"/>
      <c r="F4" s="114"/>
      <c r="G4" s="114"/>
      <c r="H4" s="210" t="str">
        <f>'1. ANNUAL USAGE '!C3</f>
        <v>Le Creuset of America, Inc.</v>
      </c>
      <c r="I4" s="114"/>
      <c r="J4" s="114"/>
      <c r="K4" s="115"/>
    </row>
    <row r="5" spans="2:21" ht="21" customHeight="1" thickBot="1" x14ac:dyDescent="0.4">
      <c r="B5" s="117"/>
      <c r="C5" s="140"/>
      <c r="D5" s="116"/>
      <c r="E5" s="116"/>
      <c r="F5" s="116"/>
      <c r="G5" s="116"/>
      <c r="H5" s="238"/>
      <c r="I5" s="116"/>
      <c r="J5" s="116"/>
      <c r="K5" s="118"/>
    </row>
    <row r="6" spans="2:21" ht="27.7" customHeight="1" thickTop="1" x14ac:dyDescent="0.6">
      <c r="B6" s="117"/>
      <c r="C6" s="551" t="s">
        <v>49</v>
      </c>
      <c r="D6" s="547"/>
      <c r="E6" s="547"/>
      <c r="F6" s="141"/>
      <c r="G6" s="547" t="s">
        <v>113</v>
      </c>
      <c r="H6" s="547"/>
      <c r="I6" s="241">
        <f>N40</f>
        <v>0.12913789318221491</v>
      </c>
      <c r="J6" s="142"/>
      <c r="K6" s="143"/>
      <c r="N6" s="70"/>
    </row>
    <row r="7" spans="2:21" ht="20.65" x14ac:dyDescent="0.6">
      <c r="B7" s="117"/>
      <c r="C7" s="552">
        <f>'4. SC Quote'!I21</f>
        <v>990000.00000000012</v>
      </c>
      <c r="D7" s="553"/>
      <c r="E7" s="553"/>
      <c r="F7" s="116"/>
      <c r="G7" s="116"/>
      <c r="H7" s="116"/>
      <c r="I7" s="116"/>
      <c r="J7" s="116"/>
      <c r="K7" s="118"/>
    </row>
    <row r="8" spans="2:21" ht="12.75" customHeight="1" thickBot="1" x14ac:dyDescent="0.45">
      <c r="B8" s="117"/>
      <c r="C8" s="144"/>
      <c r="D8" s="116"/>
      <c r="E8" s="116"/>
      <c r="F8" s="116"/>
      <c r="G8" s="256">
        <f>'4. SC Quote'!B7</f>
        <v>450</v>
      </c>
      <c r="H8" s="258" t="str">
        <f>'4. SC Quote'!C7</f>
        <v>Kilowatt Roof Mount Solar Array</v>
      </c>
      <c r="I8" s="116"/>
      <c r="J8" s="116"/>
      <c r="K8" s="118"/>
    </row>
    <row r="9" spans="2:21" ht="12.75" customHeight="1" thickTop="1" x14ac:dyDescent="0.4">
      <c r="B9" s="117"/>
      <c r="C9" s="554" t="s">
        <v>196</v>
      </c>
      <c r="D9" s="555"/>
      <c r="E9" s="556"/>
      <c r="F9" s="116"/>
      <c r="G9" s="257">
        <f>'1. ANNUAL USAGE '!G28</f>
        <v>0.72345917334582488</v>
      </c>
      <c r="H9" s="259" t="s">
        <v>116</v>
      </c>
      <c r="I9" s="116"/>
      <c r="J9" s="116"/>
      <c r="K9" s="118"/>
      <c r="L9" s="34"/>
    </row>
    <row r="10" spans="2:21" ht="16.5" customHeight="1" x14ac:dyDescent="0.5">
      <c r="B10" s="73"/>
      <c r="C10" s="557"/>
      <c r="D10" s="558"/>
      <c r="E10" s="559"/>
      <c r="F10" s="120"/>
      <c r="G10" s="120"/>
      <c r="H10" s="121" t="s">
        <v>56</v>
      </c>
      <c r="I10" s="122">
        <f>'2. System Sizing'!B9</f>
        <v>297000</v>
      </c>
      <c r="J10" s="120"/>
      <c r="K10" s="123"/>
      <c r="L10" s="34"/>
      <c r="P10" s="71"/>
      <c r="S10" s="545" t="s">
        <v>193</v>
      </c>
      <c r="T10" s="545"/>
      <c r="U10" s="545"/>
    </row>
    <row r="11" spans="2:21" ht="2.25" customHeight="1" x14ac:dyDescent="0.4">
      <c r="B11" s="73"/>
      <c r="C11" s="557"/>
      <c r="D11" s="558"/>
      <c r="E11" s="559"/>
      <c r="F11" s="120"/>
      <c r="G11" s="120"/>
      <c r="H11" s="124"/>
      <c r="I11" s="125"/>
      <c r="J11" s="120"/>
      <c r="K11" s="123"/>
      <c r="L11" s="34"/>
      <c r="P11" s="71"/>
    </row>
    <row r="12" spans="2:21" ht="17.25" customHeight="1" x14ac:dyDescent="0.5">
      <c r="B12" s="73"/>
      <c r="C12" s="73"/>
      <c r="D12" s="549" t="s">
        <v>53</v>
      </c>
      <c r="E12" s="97" t="s">
        <v>51</v>
      </c>
      <c r="F12" s="560" t="s">
        <v>50</v>
      </c>
      <c r="G12" s="562" t="s">
        <v>57</v>
      </c>
      <c r="H12" s="562"/>
      <c r="I12" s="104">
        <f>MIN(35000,C7*0.25)</f>
        <v>35000</v>
      </c>
      <c r="J12" s="95"/>
      <c r="K12" s="563" t="s">
        <v>48</v>
      </c>
      <c r="N12" s="546" t="s">
        <v>114</v>
      </c>
      <c r="S12" s="16">
        <f>'4. SC Quote'!I23</f>
        <v>35000</v>
      </c>
    </row>
    <row r="13" spans="2:21" ht="12.75" customHeight="1" thickBot="1" x14ac:dyDescent="0.45">
      <c r="B13" s="73"/>
      <c r="C13" s="73"/>
      <c r="D13" s="549"/>
      <c r="E13" s="97" t="s">
        <v>52</v>
      </c>
      <c r="F13" s="560"/>
      <c r="G13" s="565" t="s">
        <v>55</v>
      </c>
      <c r="H13" s="565"/>
      <c r="I13" s="549"/>
      <c r="J13" s="95"/>
      <c r="K13" s="563"/>
      <c r="N13" s="546"/>
      <c r="S13" s="16">
        <f>MAX(S12-3500,0)</f>
        <v>31500</v>
      </c>
      <c r="T13" s="16">
        <f>S12-S13</f>
        <v>3500</v>
      </c>
    </row>
    <row r="14" spans="2:21" ht="12.75" customHeight="1" thickTop="1" x14ac:dyDescent="0.4">
      <c r="B14" s="73"/>
      <c r="C14" s="72"/>
      <c r="D14" s="550"/>
      <c r="E14" s="98" t="s">
        <v>10</v>
      </c>
      <c r="F14" s="561"/>
      <c r="G14" s="548" t="s">
        <v>54</v>
      </c>
      <c r="H14" s="548"/>
      <c r="I14" s="550"/>
      <c r="J14" s="96"/>
      <c r="K14" s="564"/>
      <c r="N14" s="240">
        <f>D15</f>
        <v>-990000.00000000012</v>
      </c>
      <c r="P14" s="74"/>
      <c r="S14" s="16">
        <f t="shared" ref="S14:S22" si="0">MAX(S13-3500,0)</f>
        <v>28000</v>
      </c>
      <c r="T14" s="16">
        <f t="shared" ref="T14:T22" si="1">S13-S14</f>
        <v>3500</v>
      </c>
    </row>
    <row r="15" spans="2:21" ht="13.15" x14ac:dyDescent="0.4">
      <c r="B15" s="73"/>
      <c r="C15" s="90" t="s">
        <v>11</v>
      </c>
      <c r="D15" s="273">
        <f>SUM(C7+L15)*-1</f>
        <v>-990000.00000000012</v>
      </c>
      <c r="E15" s="275">
        <f>K15+I15+I10+T13</f>
        <v>402650.99565183884</v>
      </c>
      <c r="F15" s="126">
        <f>SUM(-C7*0.85)*-1</f>
        <v>841500.00000000012</v>
      </c>
      <c r="G15" s="127">
        <v>0.2</v>
      </c>
      <c r="H15" s="128">
        <f>SUM(F15*0.2)</f>
        <v>168300.00000000003</v>
      </c>
      <c r="I15" s="174">
        <f>SUM(H15*0.3)</f>
        <v>50490.000000000007</v>
      </c>
      <c r="J15" s="129"/>
      <c r="K15" s="130">
        <f>'3. Pre-Post Solar Costs'!F15</f>
        <v>51660.995651838792</v>
      </c>
      <c r="L15" s="75"/>
      <c r="M15" s="76"/>
      <c r="N15" s="246">
        <f>E15</f>
        <v>402650.99565183884</v>
      </c>
      <c r="P15" s="74"/>
      <c r="S15" s="16">
        <f t="shared" si="0"/>
        <v>24500</v>
      </c>
      <c r="T15" s="16">
        <f t="shared" si="1"/>
        <v>3500</v>
      </c>
    </row>
    <row r="16" spans="2:21" ht="13.15" x14ac:dyDescent="0.4">
      <c r="B16" s="73"/>
      <c r="C16" s="90" t="s">
        <v>12</v>
      </c>
      <c r="D16" s="273">
        <f t="shared" ref="D16:D39" si="2">D15+E15</f>
        <v>-587349.00434816128</v>
      </c>
      <c r="E16" s="275">
        <f t="shared" ref="E16:E21" si="3">K16+I16+T14</f>
        <v>138269.74045617154</v>
      </c>
      <c r="F16" s="126">
        <f>SUM(F15-H15)</f>
        <v>673200.00000000012</v>
      </c>
      <c r="G16" s="127">
        <v>0.32</v>
      </c>
      <c r="H16" s="131">
        <f>SUM(F15*0.32)</f>
        <v>269280.00000000006</v>
      </c>
      <c r="I16" s="174">
        <f t="shared" ref="I16:I20" si="4">SUM(H16*0.3)</f>
        <v>80784.000000000015</v>
      </c>
      <c r="J16" s="132"/>
      <c r="K16" s="130">
        <f>K15*1.045</f>
        <v>53985.74045617153</v>
      </c>
      <c r="M16" s="27"/>
      <c r="N16" s="246">
        <f t="shared" ref="N16:N39" si="5">E16</f>
        <v>138269.74045617154</v>
      </c>
      <c r="P16" s="75"/>
      <c r="S16" s="16">
        <f t="shared" si="0"/>
        <v>21000</v>
      </c>
      <c r="T16" s="16">
        <f t="shared" si="1"/>
        <v>3500</v>
      </c>
    </row>
    <row r="17" spans="2:20" ht="13.15" x14ac:dyDescent="0.4">
      <c r="B17" s="73"/>
      <c r="C17" s="90" t="s">
        <v>13</v>
      </c>
      <c r="D17" s="273">
        <f t="shared" si="2"/>
        <v>-449079.26389198971</v>
      </c>
      <c r="E17" s="275">
        <f t="shared" si="3"/>
        <v>108385.49877669926</v>
      </c>
      <c r="F17" s="126">
        <f>SUM(F16-H16)</f>
        <v>403920.00000000006</v>
      </c>
      <c r="G17" s="133">
        <v>0.192</v>
      </c>
      <c r="H17" s="131">
        <f>SUM(F15*0.192)</f>
        <v>161568.00000000003</v>
      </c>
      <c r="I17" s="174">
        <f t="shared" si="4"/>
        <v>48470.400000000009</v>
      </c>
      <c r="J17" s="132"/>
      <c r="K17" s="130">
        <f t="shared" ref="K17:K39" si="6">K16*1.045</f>
        <v>56415.098776699248</v>
      </c>
      <c r="M17" s="27"/>
      <c r="N17" s="246">
        <f t="shared" si="5"/>
        <v>108385.49877669926</v>
      </c>
      <c r="S17" s="16">
        <f t="shared" si="0"/>
        <v>17500</v>
      </c>
      <c r="T17" s="16">
        <f t="shared" si="1"/>
        <v>3500</v>
      </c>
    </row>
    <row r="18" spans="2:20" ht="13.15" x14ac:dyDescent="0.4">
      <c r="B18" s="73"/>
      <c r="C18" s="90" t="s">
        <v>14</v>
      </c>
      <c r="D18" s="273">
        <f t="shared" si="2"/>
        <v>-340693.76511529047</v>
      </c>
      <c r="E18" s="275">
        <f t="shared" si="3"/>
        <v>91536.018221650709</v>
      </c>
      <c r="F18" s="126">
        <f>SUM(F17-H17)</f>
        <v>242352.00000000003</v>
      </c>
      <c r="G18" s="133">
        <v>0.1152</v>
      </c>
      <c r="H18" s="131">
        <f>SUM(F15*0.1152)</f>
        <v>96940.800000000017</v>
      </c>
      <c r="I18" s="174">
        <f t="shared" si="4"/>
        <v>29082.240000000005</v>
      </c>
      <c r="J18" s="132"/>
      <c r="K18" s="130">
        <f t="shared" si="6"/>
        <v>58953.778221650711</v>
      </c>
      <c r="M18" s="27"/>
      <c r="N18" s="246">
        <f t="shared" si="5"/>
        <v>91536.018221650709</v>
      </c>
      <c r="P18" s="78"/>
      <c r="S18" s="16">
        <f t="shared" si="0"/>
        <v>14000</v>
      </c>
      <c r="T18" s="16">
        <f t="shared" si="1"/>
        <v>3500</v>
      </c>
    </row>
    <row r="19" spans="2:20" ht="13.15" x14ac:dyDescent="0.4">
      <c r="B19" s="73"/>
      <c r="C19" s="90" t="s">
        <v>15</v>
      </c>
      <c r="D19" s="273">
        <f t="shared" si="2"/>
        <v>-249157.74689363976</v>
      </c>
      <c r="E19" s="275">
        <f t="shared" si="3"/>
        <v>94188.938241625001</v>
      </c>
      <c r="F19" s="126">
        <f>SUM(F18-H18)</f>
        <v>145411.20000000001</v>
      </c>
      <c r="G19" s="133">
        <v>0.1152</v>
      </c>
      <c r="H19" s="131">
        <f>SUM(F15*0.1152)</f>
        <v>96940.800000000017</v>
      </c>
      <c r="I19" s="174">
        <f t="shared" si="4"/>
        <v>29082.240000000005</v>
      </c>
      <c r="J19" s="132"/>
      <c r="K19" s="130">
        <f t="shared" si="6"/>
        <v>61606.698241624988</v>
      </c>
      <c r="M19" s="27"/>
      <c r="N19" s="246">
        <f t="shared" si="5"/>
        <v>94188.938241625001</v>
      </c>
      <c r="S19" s="16">
        <f t="shared" si="0"/>
        <v>10500</v>
      </c>
      <c r="T19" s="16">
        <f t="shared" si="1"/>
        <v>3500</v>
      </c>
    </row>
    <row r="20" spans="2:20" ht="13.15" x14ac:dyDescent="0.4">
      <c r="B20" s="73"/>
      <c r="C20" s="90" t="s">
        <v>16</v>
      </c>
      <c r="D20" s="274">
        <f t="shared" si="2"/>
        <v>-154968.80865201476</v>
      </c>
      <c r="E20" s="275">
        <f t="shared" si="3"/>
        <v>82420.119662498109</v>
      </c>
      <c r="F20" s="126">
        <f>SUM(F19-H19)</f>
        <v>48470.399999999994</v>
      </c>
      <c r="G20" s="133">
        <v>5.7599999999999998E-2</v>
      </c>
      <c r="H20" s="131">
        <f>SUM(F15*0.0576)</f>
        <v>48470.400000000009</v>
      </c>
      <c r="I20" s="174">
        <f t="shared" si="4"/>
        <v>14541.120000000003</v>
      </c>
      <c r="J20" s="132"/>
      <c r="K20" s="130">
        <f t="shared" si="6"/>
        <v>64378.999662498107</v>
      </c>
      <c r="M20" s="27"/>
      <c r="N20" s="246">
        <f t="shared" si="5"/>
        <v>82420.119662498109</v>
      </c>
      <c r="S20" s="16">
        <f t="shared" si="0"/>
        <v>7000</v>
      </c>
      <c r="T20" s="16">
        <f t="shared" si="1"/>
        <v>3500</v>
      </c>
    </row>
    <row r="21" spans="2:20" ht="13.15" x14ac:dyDescent="0.4">
      <c r="B21" s="73"/>
      <c r="C21" s="90" t="s">
        <v>17</v>
      </c>
      <c r="D21" s="274">
        <f t="shared" si="2"/>
        <v>-72548.688989516653</v>
      </c>
      <c r="E21" s="275">
        <f t="shared" si="3"/>
        <v>70776.054647310521</v>
      </c>
      <c r="F21" s="134"/>
      <c r="G21" s="134"/>
      <c r="H21" s="119"/>
      <c r="I21" s="119"/>
      <c r="J21" s="120"/>
      <c r="K21" s="130">
        <f t="shared" si="6"/>
        <v>67276.054647310521</v>
      </c>
      <c r="N21" s="246">
        <f t="shared" si="5"/>
        <v>70776.054647310521</v>
      </c>
      <c r="S21" s="16">
        <f t="shared" si="0"/>
        <v>3500</v>
      </c>
      <c r="T21" s="16">
        <f t="shared" si="1"/>
        <v>3500</v>
      </c>
    </row>
    <row r="22" spans="2:20" ht="13.15" x14ac:dyDescent="0.4">
      <c r="B22" s="73"/>
      <c r="C22" s="90" t="s">
        <v>18</v>
      </c>
      <c r="D22" s="274">
        <f t="shared" si="2"/>
        <v>-1772.6343422061327</v>
      </c>
      <c r="E22" s="275">
        <f t="shared" ref="E22:E23" si="7">K22+I22+T20</f>
        <v>73803.477106439488</v>
      </c>
      <c r="F22" s="116"/>
      <c r="G22" s="116"/>
      <c r="H22" s="119"/>
      <c r="I22" s="119"/>
      <c r="J22" s="120"/>
      <c r="K22" s="130">
        <f t="shared" si="6"/>
        <v>70303.477106439488</v>
      </c>
      <c r="N22" s="246">
        <f t="shared" si="5"/>
        <v>73803.477106439488</v>
      </c>
      <c r="O22" s="32"/>
      <c r="S22" s="16">
        <f t="shared" si="0"/>
        <v>0</v>
      </c>
      <c r="T22" s="16">
        <f t="shared" si="1"/>
        <v>3500</v>
      </c>
    </row>
    <row r="23" spans="2:20" ht="13.15" x14ac:dyDescent="0.4">
      <c r="B23" s="73"/>
      <c r="C23" s="90" t="s">
        <v>19</v>
      </c>
      <c r="D23" s="274">
        <f t="shared" si="2"/>
        <v>72030.842764233355</v>
      </c>
      <c r="E23" s="275">
        <f t="shared" si="7"/>
        <v>76967.133576229258</v>
      </c>
      <c r="F23" s="135"/>
      <c r="G23" s="135"/>
      <c r="H23" s="136"/>
      <c r="I23" s="136"/>
      <c r="J23" s="120"/>
      <c r="K23" s="130">
        <f t="shared" si="6"/>
        <v>73467.133576229258</v>
      </c>
      <c r="N23" s="246">
        <f t="shared" si="5"/>
        <v>76967.133576229258</v>
      </c>
    </row>
    <row r="24" spans="2:20" ht="13.15" x14ac:dyDescent="0.4">
      <c r="B24" s="73"/>
      <c r="C24" s="90" t="s">
        <v>20</v>
      </c>
      <c r="D24" s="274">
        <f t="shared" si="2"/>
        <v>148997.97634046263</v>
      </c>
      <c r="E24" s="275">
        <f>K24+I24+T22</f>
        <v>80273.154587159574</v>
      </c>
      <c r="F24" s="116"/>
      <c r="G24" s="116"/>
      <c r="H24" s="137"/>
      <c r="I24" s="137"/>
      <c r="J24" s="137"/>
      <c r="K24" s="130">
        <f t="shared" si="6"/>
        <v>76773.154587159574</v>
      </c>
      <c r="N24" s="246">
        <f t="shared" si="5"/>
        <v>80273.154587159574</v>
      </c>
    </row>
    <row r="25" spans="2:20" x14ac:dyDescent="0.35">
      <c r="B25" s="73"/>
      <c r="C25" s="90" t="s">
        <v>21</v>
      </c>
      <c r="D25" s="274">
        <f t="shared" si="2"/>
        <v>229271.1309276222</v>
      </c>
      <c r="E25" s="82">
        <f t="shared" ref="E25:E39" si="8">K25</f>
        <v>80227.946543581755</v>
      </c>
      <c r="F25" s="116"/>
      <c r="G25" s="116"/>
      <c r="H25" s="120"/>
      <c r="I25" s="120"/>
      <c r="J25" s="120"/>
      <c r="K25" s="130">
        <f t="shared" si="6"/>
        <v>80227.946543581755</v>
      </c>
      <c r="N25" s="246">
        <f t="shared" si="5"/>
        <v>80227.946543581755</v>
      </c>
    </row>
    <row r="26" spans="2:20" x14ac:dyDescent="0.35">
      <c r="B26" s="73"/>
      <c r="C26" s="90" t="s">
        <v>22</v>
      </c>
      <c r="D26" s="79">
        <f t="shared" si="2"/>
        <v>309499.07747120399</v>
      </c>
      <c r="E26" s="82">
        <f t="shared" si="8"/>
        <v>83838.204138042929</v>
      </c>
      <c r="F26" s="116"/>
      <c r="G26" s="116"/>
      <c r="H26" s="120"/>
      <c r="I26" s="120"/>
      <c r="J26" s="120"/>
      <c r="K26" s="130">
        <f t="shared" si="6"/>
        <v>83838.204138042929</v>
      </c>
      <c r="N26" s="246">
        <f t="shared" si="5"/>
        <v>83838.204138042929</v>
      </c>
    </row>
    <row r="27" spans="2:20" x14ac:dyDescent="0.35">
      <c r="B27" s="73"/>
      <c r="C27" s="90" t="s">
        <v>23</v>
      </c>
      <c r="D27" s="79">
        <f t="shared" si="2"/>
        <v>393337.28160924691</v>
      </c>
      <c r="E27" s="82">
        <f t="shared" si="8"/>
        <v>87610.923324254851</v>
      </c>
      <c r="F27" s="116"/>
      <c r="G27" s="116"/>
      <c r="H27" s="120"/>
      <c r="I27" s="120"/>
      <c r="J27" s="120"/>
      <c r="K27" s="130">
        <f t="shared" si="6"/>
        <v>87610.923324254851</v>
      </c>
      <c r="N27" s="246">
        <f t="shared" si="5"/>
        <v>87610.923324254851</v>
      </c>
    </row>
    <row r="28" spans="2:20" x14ac:dyDescent="0.35">
      <c r="B28" s="73"/>
      <c r="C28" s="90" t="s">
        <v>24</v>
      </c>
      <c r="D28" s="79">
        <f t="shared" si="2"/>
        <v>480948.20493350178</v>
      </c>
      <c r="E28" s="82">
        <f t="shared" si="8"/>
        <v>91553.414873846312</v>
      </c>
      <c r="F28" s="116"/>
      <c r="G28" s="116"/>
      <c r="H28" s="120"/>
      <c r="I28" s="120"/>
      <c r="J28" s="120"/>
      <c r="K28" s="130">
        <f t="shared" si="6"/>
        <v>91553.414873846312</v>
      </c>
      <c r="N28" s="246">
        <f t="shared" si="5"/>
        <v>91553.414873846312</v>
      </c>
    </row>
    <row r="29" spans="2:20" x14ac:dyDescent="0.35">
      <c r="B29" s="73"/>
      <c r="C29" s="90" t="s">
        <v>25</v>
      </c>
      <c r="D29" s="79">
        <f t="shared" si="2"/>
        <v>572501.61980734812</v>
      </c>
      <c r="E29" s="82">
        <f t="shared" si="8"/>
        <v>95673.318543169386</v>
      </c>
      <c r="F29" s="116"/>
      <c r="G29" s="116"/>
      <c r="H29" s="120"/>
      <c r="I29" s="120"/>
      <c r="J29" s="120"/>
      <c r="K29" s="130">
        <f t="shared" si="6"/>
        <v>95673.318543169386</v>
      </c>
      <c r="N29" s="246">
        <f t="shared" si="5"/>
        <v>95673.318543169386</v>
      </c>
    </row>
    <row r="30" spans="2:20" x14ac:dyDescent="0.35">
      <c r="B30" s="73"/>
      <c r="C30" s="90" t="s">
        <v>26</v>
      </c>
      <c r="D30" s="79">
        <f t="shared" si="2"/>
        <v>668174.93835051754</v>
      </c>
      <c r="E30" s="82">
        <f t="shared" si="8"/>
        <v>99978.617877612007</v>
      </c>
      <c r="F30" s="116"/>
      <c r="G30" s="116"/>
      <c r="H30" s="120"/>
      <c r="I30" s="120"/>
      <c r="J30" s="120"/>
      <c r="K30" s="130">
        <f t="shared" si="6"/>
        <v>99978.617877612007</v>
      </c>
      <c r="N30" s="246">
        <f t="shared" si="5"/>
        <v>99978.617877612007</v>
      </c>
    </row>
    <row r="31" spans="2:20" x14ac:dyDescent="0.35">
      <c r="B31" s="73"/>
      <c r="C31" s="90" t="s">
        <v>27</v>
      </c>
      <c r="D31" s="79">
        <f t="shared" si="2"/>
        <v>768153.55622812954</v>
      </c>
      <c r="E31" s="82">
        <f t="shared" si="8"/>
        <v>104477.65568210454</v>
      </c>
      <c r="F31" s="116"/>
      <c r="G31" s="116"/>
      <c r="H31" s="120"/>
      <c r="I31" s="120"/>
      <c r="J31" s="120"/>
      <c r="K31" s="130">
        <f t="shared" si="6"/>
        <v>104477.65568210454</v>
      </c>
      <c r="N31" s="246">
        <f t="shared" si="5"/>
        <v>104477.65568210454</v>
      </c>
    </row>
    <row r="32" spans="2:20" x14ac:dyDescent="0.35">
      <c r="B32" s="73"/>
      <c r="C32" s="90" t="s">
        <v>28</v>
      </c>
      <c r="D32" s="79">
        <f t="shared" si="2"/>
        <v>872631.21191023407</v>
      </c>
      <c r="E32" s="82">
        <f t="shared" si="8"/>
        <v>109179.15018779924</v>
      </c>
      <c r="F32" s="116"/>
      <c r="G32" s="116"/>
      <c r="H32" s="120"/>
      <c r="I32" s="120"/>
      <c r="J32" s="120"/>
      <c r="K32" s="130">
        <f t="shared" si="6"/>
        <v>109179.15018779924</v>
      </c>
      <c r="N32" s="246">
        <f t="shared" si="5"/>
        <v>109179.15018779924</v>
      </c>
    </row>
    <row r="33" spans="2:14" x14ac:dyDescent="0.35">
      <c r="B33" s="73"/>
      <c r="C33" s="90" t="s">
        <v>29</v>
      </c>
      <c r="D33" s="79">
        <f t="shared" si="2"/>
        <v>981810.36209803331</v>
      </c>
      <c r="E33" s="82">
        <f t="shared" si="8"/>
        <v>114092.2119462502</v>
      </c>
      <c r="F33" s="116"/>
      <c r="G33" s="116"/>
      <c r="H33" s="120"/>
      <c r="I33" s="120"/>
      <c r="J33" s="120"/>
      <c r="K33" s="130">
        <f t="shared" si="6"/>
        <v>114092.2119462502</v>
      </c>
      <c r="N33" s="246">
        <f t="shared" si="5"/>
        <v>114092.2119462502</v>
      </c>
    </row>
    <row r="34" spans="2:14" x14ac:dyDescent="0.35">
      <c r="B34" s="73"/>
      <c r="C34" s="90" t="s">
        <v>30</v>
      </c>
      <c r="D34" s="79">
        <f t="shared" si="2"/>
        <v>1095902.5740442835</v>
      </c>
      <c r="E34" s="82">
        <f t="shared" si="8"/>
        <v>119226.36148383145</v>
      </c>
      <c r="F34" s="116"/>
      <c r="G34" s="116"/>
      <c r="H34" s="120"/>
      <c r="I34" s="120"/>
      <c r="J34" s="120"/>
      <c r="K34" s="130">
        <f t="shared" si="6"/>
        <v>119226.36148383145</v>
      </c>
      <c r="N34" s="246">
        <f t="shared" si="5"/>
        <v>119226.36148383145</v>
      </c>
    </row>
    <row r="35" spans="2:14" x14ac:dyDescent="0.35">
      <c r="B35" s="73"/>
      <c r="C35" s="90" t="s">
        <v>33</v>
      </c>
      <c r="D35" s="138">
        <f t="shared" si="2"/>
        <v>1215128.9355281149</v>
      </c>
      <c r="E35" s="82">
        <f t="shared" si="8"/>
        <v>124591.54775060386</v>
      </c>
      <c r="F35" s="120"/>
      <c r="G35" s="120"/>
      <c r="H35" s="120"/>
      <c r="I35" s="120"/>
      <c r="J35" s="120"/>
      <c r="K35" s="130">
        <f t="shared" si="6"/>
        <v>124591.54775060386</v>
      </c>
      <c r="M35" s="16" t="s">
        <v>47</v>
      </c>
      <c r="N35" s="246">
        <f t="shared" si="5"/>
        <v>124591.54775060386</v>
      </c>
    </row>
    <row r="36" spans="2:14" x14ac:dyDescent="0.35">
      <c r="B36" s="73"/>
      <c r="C36" s="90" t="s">
        <v>34</v>
      </c>
      <c r="D36" s="138">
        <f t="shared" si="2"/>
        <v>1339720.4832787188</v>
      </c>
      <c r="E36" s="82">
        <f t="shared" si="8"/>
        <v>130198.16739938103</v>
      </c>
      <c r="F36" s="120"/>
      <c r="G36" s="120"/>
      <c r="H36" s="120"/>
      <c r="I36" s="120"/>
      <c r="J36" s="120"/>
      <c r="K36" s="130">
        <f t="shared" si="6"/>
        <v>130198.16739938103</v>
      </c>
      <c r="N36" s="246">
        <f t="shared" si="5"/>
        <v>130198.16739938103</v>
      </c>
    </row>
    <row r="37" spans="2:14" x14ac:dyDescent="0.35">
      <c r="B37" s="73"/>
      <c r="C37" s="90" t="s">
        <v>35</v>
      </c>
      <c r="D37" s="138">
        <f t="shared" si="2"/>
        <v>1469918.6506780998</v>
      </c>
      <c r="E37" s="82">
        <f t="shared" si="8"/>
        <v>136057.08493235317</v>
      </c>
      <c r="F37" s="120"/>
      <c r="G37" s="120"/>
      <c r="H37" s="120"/>
      <c r="I37" s="120"/>
      <c r="J37" s="120"/>
      <c r="K37" s="130">
        <f t="shared" si="6"/>
        <v>136057.08493235317</v>
      </c>
      <c r="N37" s="246">
        <f t="shared" si="5"/>
        <v>136057.08493235317</v>
      </c>
    </row>
    <row r="38" spans="2:14" x14ac:dyDescent="0.35">
      <c r="B38" s="73"/>
      <c r="C38" s="90" t="s">
        <v>36</v>
      </c>
      <c r="D38" s="138">
        <f t="shared" si="2"/>
        <v>1605975.7356104529</v>
      </c>
      <c r="E38" s="82">
        <f t="shared" si="8"/>
        <v>142179.65375430905</v>
      </c>
      <c r="F38" s="73"/>
      <c r="G38" s="120"/>
      <c r="H38" s="120"/>
      <c r="I38" s="120"/>
      <c r="J38" s="120"/>
      <c r="K38" s="130">
        <f t="shared" si="6"/>
        <v>142179.65375430905</v>
      </c>
      <c r="N38" s="246">
        <f t="shared" si="5"/>
        <v>142179.65375430905</v>
      </c>
    </row>
    <row r="39" spans="2:14" ht="13.15" thickBot="1" x14ac:dyDescent="0.4">
      <c r="B39" s="73"/>
      <c r="C39" s="91" t="s">
        <v>37</v>
      </c>
      <c r="D39" s="81">
        <f t="shared" si="2"/>
        <v>1748155.389364762</v>
      </c>
      <c r="E39" s="83">
        <f t="shared" si="8"/>
        <v>148577.73817325296</v>
      </c>
      <c r="F39" s="449"/>
      <c r="G39" s="450"/>
      <c r="H39" s="450"/>
      <c r="I39" s="450"/>
      <c r="J39" s="450"/>
      <c r="K39" s="130">
        <f t="shared" si="6"/>
        <v>148577.73817325296</v>
      </c>
      <c r="M39" s="239"/>
      <c r="N39" s="246">
        <f t="shared" si="5"/>
        <v>148577.73817325296</v>
      </c>
    </row>
    <row r="40" spans="2:14" ht="24" customHeight="1" thickTop="1" thickBot="1" x14ac:dyDescent="0.55000000000000004">
      <c r="B40" s="117"/>
      <c r="C40" s="116"/>
      <c r="D40" s="116"/>
      <c r="E40" s="116"/>
      <c r="F40" s="116"/>
      <c r="G40" s="116"/>
      <c r="H40" s="116"/>
      <c r="I40" s="116"/>
      <c r="J40" s="139" t="s">
        <v>66</v>
      </c>
      <c r="K40" s="214">
        <f>SUM(K15:K39)</f>
        <v>2302283.1275380151</v>
      </c>
      <c r="M40" s="248" t="s">
        <v>112</v>
      </c>
      <c r="N40" s="249">
        <f>IRR(N14:N39)</f>
        <v>0.12913789318221491</v>
      </c>
    </row>
    <row r="41" spans="2:14" ht="18" customHeight="1" thickTop="1" x14ac:dyDescent="0.35">
      <c r="B41" s="117"/>
      <c r="C41" s="880" t="s">
        <v>251</v>
      </c>
      <c r="D41" s="880"/>
      <c r="E41" s="880"/>
      <c r="F41" s="880"/>
      <c r="G41" s="880"/>
      <c r="H41" s="880"/>
      <c r="I41" s="880"/>
      <c r="J41" s="880"/>
      <c r="K41" s="881"/>
    </row>
    <row r="42" spans="2:14" ht="30" customHeight="1" x14ac:dyDescent="0.35">
      <c r="B42" s="117"/>
      <c r="C42" s="880"/>
      <c r="D42" s="880"/>
      <c r="E42" s="880"/>
      <c r="F42" s="880"/>
      <c r="G42" s="880"/>
      <c r="H42" s="880"/>
      <c r="I42" s="880"/>
      <c r="J42" s="880"/>
      <c r="K42" s="881"/>
    </row>
    <row r="43" spans="2:14" ht="13.15" thickBot="1" x14ac:dyDescent="0.4">
      <c r="B43" s="140"/>
      <c r="C43" s="882"/>
      <c r="D43" s="882"/>
      <c r="E43" s="882"/>
      <c r="F43" s="882"/>
      <c r="G43" s="882"/>
      <c r="H43" s="882"/>
      <c r="I43" s="882"/>
      <c r="J43" s="882"/>
      <c r="K43" s="883"/>
    </row>
    <row r="44" spans="2:14" ht="13.15" thickTop="1" x14ac:dyDescent="0.35"/>
  </sheetData>
  <sheetProtection selectLockedCells="1"/>
  <mergeCells count="14">
    <mergeCell ref="S10:U10"/>
    <mergeCell ref="N12:N13"/>
    <mergeCell ref="G6:H6"/>
    <mergeCell ref="G14:H14"/>
    <mergeCell ref="I13:I14"/>
    <mergeCell ref="C6:E6"/>
    <mergeCell ref="C7:E7"/>
    <mergeCell ref="C9:E11"/>
    <mergeCell ref="D12:D14"/>
    <mergeCell ref="F12:F14"/>
    <mergeCell ref="G12:H12"/>
    <mergeCell ref="K12:K14"/>
    <mergeCell ref="G13:H13"/>
    <mergeCell ref="C41:K43"/>
  </mergeCells>
  <printOptions horizontalCentered="1"/>
  <pageMargins left="0.25" right="0.25" top="0.75" bottom="0.75" header="0.3" footer="0.3"/>
  <pageSetup scale="78" orientation="landscape" r:id="rId1"/>
  <headerFooter>
    <oddHeader>&amp;R&amp;"Cambria,Bold"&amp;8
&amp;D</oddHeader>
    <oddFooter>&amp;C2 Corpus Cristi Place Suite 200 Hilton Head, SC 29928      844.765.2793     coastalsolar.com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B1:AD79"/>
  <sheetViews>
    <sheetView view="pageBreakPreview" topLeftCell="B3" zoomScale="60" zoomScaleNormal="60" zoomScalePageLayoutView="90" workbookViewId="0">
      <selection activeCell="B43" sqref="B43:L44"/>
    </sheetView>
  </sheetViews>
  <sheetFormatPr defaultColWidth="9.19921875" defaultRowHeight="12.75" x14ac:dyDescent="0.35"/>
  <cols>
    <col min="1" max="1" width="9.19921875" style="280"/>
    <col min="2" max="2" width="7.33203125" style="280" customWidth="1"/>
    <col min="3" max="3" width="21.53125" style="280" customWidth="1"/>
    <col min="4" max="4" width="20" style="280" customWidth="1"/>
    <col min="5" max="5" width="31.19921875" style="280" customWidth="1"/>
    <col min="6" max="6" width="29.46484375" style="280" customWidth="1"/>
    <col min="7" max="7" width="25.46484375" style="280" customWidth="1"/>
    <col min="8" max="8" width="7" style="280" customWidth="1"/>
    <col min="9" max="9" width="34.73046875" style="280" customWidth="1"/>
    <col min="10" max="10" width="15" style="280" customWidth="1"/>
    <col min="11" max="11" width="3.33203125" style="280" customWidth="1"/>
    <col min="12" max="12" width="18.46484375" style="280" customWidth="1"/>
    <col min="13" max="13" width="3" style="280" customWidth="1"/>
    <col min="14" max="14" width="15.46484375" style="280" customWidth="1"/>
    <col min="15" max="15" width="22" style="280" customWidth="1"/>
    <col min="16" max="16" width="13" style="280" customWidth="1"/>
    <col min="17" max="17" width="12.265625" style="280" customWidth="1"/>
    <col min="18" max="18" width="17.265625" style="280" customWidth="1"/>
    <col min="19" max="19" width="11.53125" style="280" customWidth="1"/>
    <col min="20" max="20" width="15.73046875" style="280" customWidth="1"/>
    <col min="21" max="16384" width="9.19921875" style="280"/>
  </cols>
  <sheetData>
    <row r="1" spans="2:30" ht="13.15" hidden="1" thickBot="1" x14ac:dyDescent="0.4"/>
    <row r="2" spans="2:30" ht="80.650000000000006" customHeight="1" x14ac:dyDescent="0.35">
      <c r="B2" s="281"/>
      <c r="C2" s="577"/>
      <c r="D2" s="577"/>
      <c r="E2" s="577"/>
      <c r="F2" s="282"/>
      <c r="G2" s="578" t="str">
        <f>'1. ANNUAL USAGE '!C3</f>
        <v>Le Creuset of America, Inc.</v>
      </c>
      <c r="H2" s="578"/>
      <c r="I2" s="578"/>
      <c r="J2" s="282"/>
      <c r="K2" s="282"/>
      <c r="L2" s="283"/>
    </row>
    <row r="3" spans="2:30" ht="19.149999999999999" customHeight="1" x14ac:dyDescent="0.35">
      <c r="B3" s="284"/>
      <c r="C3" s="285"/>
      <c r="D3" s="285"/>
      <c r="E3" s="285"/>
      <c r="F3" s="285"/>
      <c r="G3" s="579" t="s">
        <v>136</v>
      </c>
      <c r="H3" s="579"/>
      <c r="I3" s="579"/>
      <c r="J3" s="285"/>
      <c r="K3" s="285"/>
      <c r="L3" s="286"/>
      <c r="M3" s="287">
        <v>1</v>
      </c>
      <c r="N3" s="575" t="s">
        <v>118</v>
      </c>
      <c r="O3" s="575"/>
      <c r="P3" s="575"/>
      <c r="Q3" s="575"/>
      <c r="R3" s="575"/>
      <c r="S3" s="575"/>
      <c r="T3" s="288">
        <v>4</v>
      </c>
      <c r="U3" s="575" t="s">
        <v>148</v>
      </c>
      <c r="V3" s="575"/>
      <c r="W3" s="575"/>
      <c r="X3" s="575"/>
      <c r="Y3" s="575"/>
      <c r="Z3" s="575"/>
      <c r="AA3" s="575"/>
      <c r="AB3" s="575"/>
      <c r="AC3" s="575"/>
      <c r="AD3" s="575"/>
    </row>
    <row r="4" spans="2:30" ht="28.15" customHeight="1" x14ac:dyDescent="0.6">
      <c r="B4" s="289"/>
      <c r="C4" s="580" t="s">
        <v>144</v>
      </c>
      <c r="D4" s="580"/>
      <c r="E4" s="580"/>
      <c r="F4" s="290"/>
      <c r="G4" s="290"/>
      <c r="H4" s="290"/>
      <c r="I4" s="290"/>
      <c r="J4" s="581" t="s">
        <v>111</v>
      </c>
      <c r="K4" s="581"/>
      <c r="L4" s="582"/>
      <c r="M4" s="291"/>
      <c r="N4" s="575"/>
      <c r="O4" s="575"/>
      <c r="P4" s="575"/>
      <c r="Q4" s="575"/>
      <c r="R4" s="575"/>
      <c r="S4" s="575"/>
      <c r="U4" s="575"/>
      <c r="V4" s="575"/>
      <c r="W4" s="575"/>
      <c r="X4" s="575"/>
      <c r="Y4" s="575"/>
      <c r="Z4" s="575"/>
      <c r="AA4" s="575"/>
      <c r="AB4" s="575"/>
      <c r="AC4" s="575"/>
      <c r="AD4" s="575"/>
    </row>
    <row r="5" spans="2:30" ht="20.65" x14ac:dyDescent="0.6">
      <c r="B5" s="289"/>
      <c r="C5" s="292"/>
      <c r="D5" s="293">
        <f>'2. System Sizing'!B8</f>
        <v>990000.00000000012</v>
      </c>
      <c r="E5" s="294"/>
      <c r="F5" s="295"/>
      <c r="G5" s="296" t="s">
        <v>119</v>
      </c>
      <c r="H5" s="297"/>
      <c r="I5" s="298">
        <f>SUM(C5:H5)</f>
        <v>990000.00000000012</v>
      </c>
      <c r="J5" s="299"/>
      <c r="K5" s="290"/>
      <c r="L5" s="300">
        <f>G78</f>
        <v>0.12163608298305029</v>
      </c>
      <c r="M5" s="291"/>
      <c r="N5" s="575"/>
      <c r="O5" s="575"/>
      <c r="P5" s="575"/>
      <c r="Q5" s="575"/>
      <c r="R5" s="575"/>
      <c r="S5" s="575"/>
      <c r="U5" s="575"/>
      <c r="V5" s="575"/>
      <c r="W5" s="575"/>
      <c r="X5" s="575"/>
      <c r="Y5" s="575"/>
      <c r="Z5" s="575"/>
      <c r="AA5" s="575"/>
      <c r="AB5" s="575"/>
      <c r="AC5" s="575"/>
      <c r="AD5" s="575"/>
    </row>
    <row r="6" spans="2:30" ht="15" customHeight="1" x14ac:dyDescent="0.4">
      <c r="B6" s="289"/>
      <c r="C6" s="301"/>
      <c r="D6" s="290"/>
      <c r="E6" s="302"/>
      <c r="F6" s="290"/>
      <c r="G6" s="297"/>
      <c r="H6" s="297"/>
      <c r="I6" s="303"/>
      <c r="J6" s="299"/>
      <c r="K6" s="290"/>
      <c r="L6" s="304"/>
      <c r="M6" s="291"/>
      <c r="N6" s="575"/>
      <c r="O6" s="575"/>
      <c r="P6" s="575"/>
      <c r="Q6" s="575"/>
      <c r="R6" s="575"/>
      <c r="S6" s="575"/>
      <c r="U6" s="575"/>
      <c r="V6" s="575"/>
      <c r="W6" s="575"/>
      <c r="X6" s="575"/>
      <c r="Y6" s="575"/>
      <c r="Z6" s="575"/>
      <c r="AA6" s="575"/>
      <c r="AB6" s="575"/>
      <c r="AC6" s="575"/>
      <c r="AD6" s="575"/>
    </row>
    <row r="7" spans="2:30" ht="20.65" x14ac:dyDescent="0.6">
      <c r="B7" s="289"/>
      <c r="C7" s="305">
        <f>'2. System Sizing'!B7</f>
        <v>450</v>
      </c>
      <c r="D7" s="306" t="s">
        <v>139</v>
      </c>
      <c r="E7" s="302"/>
      <c r="F7" s="290"/>
      <c r="G7" s="296" t="s">
        <v>137</v>
      </c>
      <c r="H7" s="307"/>
      <c r="I7" s="308">
        <f>SUM(I5*0.3)*-1</f>
        <v>-297000</v>
      </c>
      <c r="J7" s="309">
        <f>SUM(I7)*-1</f>
        <v>297000</v>
      </c>
      <c r="K7" s="290"/>
      <c r="L7" s="304"/>
      <c r="M7" s="291"/>
      <c r="N7" s="575"/>
      <c r="O7" s="575"/>
      <c r="P7" s="575"/>
      <c r="Q7" s="575"/>
      <c r="R7" s="575"/>
      <c r="S7" s="575"/>
      <c r="U7" s="575"/>
      <c r="V7" s="575"/>
      <c r="W7" s="575"/>
      <c r="X7" s="575"/>
      <c r="Y7" s="575"/>
      <c r="Z7" s="575"/>
      <c r="AA7" s="575"/>
      <c r="AB7" s="575"/>
      <c r="AC7" s="575"/>
      <c r="AD7" s="575"/>
    </row>
    <row r="8" spans="2:30" ht="21" thickBot="1" x14ac:dyDescent="0.65">
      <c r="B8" s="289"/>
      <c r="C8" s="305"/>
      <c r="D8" s="306"/>
      <c r="E8" s="302"/>
      <c r="F8" s="290"/>
      <c r="G8" s="296" t="s">
        <v>149</v>
      </c>
      <c r="H8" s="307"/>
      <c r="I8" s="308">
        <f>MIN(35000,I5*0.25)*-1</f>
        <v>-35000</v>
      </c>
      <c r="J8" s="309">
        <f>I8*-1</f>
        <v>35000</v>
      </c>
      <c r="K8" s="290"/>
      <c r="L8" s="304"/>
      <c r="M8" s="291"/>
      <c r="N8" s="575"/>
      <c r="O8" s="575"/>
      <c r="P8" s="575"/>
      <c r="Q8" s="575"/>
      <c r="R8" s="575"/>
      <c r="S8" s="575"/>
      <c r="U8" s="575"/>
      <c r="V8" s="575"/>
      <c r="W8" s="575"/>
      <c r="X8" s="575"/>
      <c r="Y8" s="575"/>
      <c r="Z8" s="575"/>
      <c r="AA8" s="575"/>
      <c r="AB8" s="575"/>
      <c r="AC8" s="575"/>
      <c r="AD8" s="575"/>
    </row>
    <row r="9" spans="2:30" ht="15" customHeight="1" x14ac:dyDescent="0.4">
      <c r="B9" s="289"/>
      <c r="C9" s="583" t="s">
        <v>197</v>
      </c>
      <c r="D9" s="584"/>
      <c r="E9" s="585"/>
      <c r="F9" s="290"/>
      <c r="G9" s="310" t="s">
        <v>120</v>
      </c>
      <c r="H9" s="307"/>
      <c r="I9" s="311"/>
      <c r="J9" s="299"/>
      <c r="K9" s="290"/>
      <c r="L9" s="304"/>
      <c r="M9" s="291"/>
      <c r="N9" s="575"/>
      <c r="O9" s="575"/>
      <c r="P9" s="575"/>
      <c r="Q9" s="575"/>
      <c r="R9" s="575"/>
      <c r="S9" s="575"/>
      <c r="U9" s="575"/>
      <c r="V9" s="575"/>
      <c r="W9" s="575"/>
      <c r="X9" s="575"/>
      <c r="Y9" s="575"/>
      <c r="Z9" s="575"/>
      <c r="AA9" s="575"/>
      <c r="AB9" s="575"/>
      <c r="AC9" s="575"/>
      <c r="AD9" s="575"/>
    </row>
    <row r="10" spans="2:30" ht="15" customHeight="1" x14ac:dyDescent="0.4">
      <c r="B10" s="289"/>
      <c r="C10" s="586"/>
      <c r="D10" s="587"/>
      <c r="E10" s="588"/>
      <c r="F10" s="312"/>
      <c r="G10" s="310" t="s">
        <v>121</v>
      </c>
      <c r="H10" s="307"/>
      <c r="I10" s="298">
        <f>SUM(I5)*0.85</f>
        <v>841500.00000000012</v>
      </c>
      <c r="J10" s="299"/>
      <c r="K10" s="290"/>
      <c r="L10" s="304"/>
      <c r="M10" s="291"/>
      <c r="N10" s="366"/>
      <c r="O10" s="366"/>
      <c r="P10" s="366"/>
      <c r="Q10" s="366"/>
      <c r="R10" s="366"/>
      <c r="S10" s="366"/>
      <c r="U10" s="575"/>
      <c r="V10" s="575"/>
      <c r="W10" s="575"/>
      <c r="X10" s="575"/>
      <c r="Y10" s="575"/>
      <c r="Z10" s="575"/>
      <c r="AA10" s="575"/>
      <c r="AB10" s="575"/>
      <c r="AC10" s="575"/>
      <c r="AD10" s="575"/>
    </row>
    <row r="11" spans="2:30" ht="15" customHeight="1" x14ac:dyDescent="0.5">
      <c r="B11" s="289"/>
      <c r="C11" s="586"/>
      <c r="D11" s="587"/>
      <c r="E11" s="588"/>
      <c r="F11" s="312"/>
      <c r="G11" s="310" t="s">
        <v>122</v>
      </c>
      <c r="H11" s="307"/>
      <c r="I11" s="298">
        <f>I10</f>
        <v>841500.00000000012</v>
      </c>
      <c r="J11" s="309">
        <f>SUM(I11*0.3)</f>
        <v>252450.00000000003</v>
      </c>
      <c r="K11" s="290"/>
      <c r="L11" s="304"/>
      <c r="M11" s="313">
        <v>2</v>
      </c>
      <c r="N11" s="575" t="s">
        <v>147</v>
      </c>
      <c r="O11" s="575"/>
      <c r="P11" s="575"/>
      <c r="Q11" s="575"/>
      <c r="R11" s="575"/>
      <c r="S11" s="575"/>
      <c r="U11" s="575"/>
      <c r="V11" s="575"/>
      <c r="W11" s="575"/>
      <c r="X11" s="575"/>
      <c r="Y11" s="575"/>
      <c r="Z11" s="575"/>
      <c r="AA11" s="575"/>
      <c r="AB11" s="575"/>
      <c r="AC11" s="575"/>
      <c r="AD11" s="575"/>
    </row>
    <row r="12" spans="2:30" ht="15" customHeight="1" x14ac:dyDescent="0.5">
      <c r="B12" s="289"/>
      <c r="C12" s="586"/>
      <c r="D12" s="587"/>
      <c r="E12" s="588"/>
      <c r="F12" s="312"/>
      <c r="G12" s="297" t="s">
        <v>123</v>
      </c>
      <c r="H12" s="307"/>
      <c r="I12" s="314">
        <f>SUM(I10-I11)</f>
        <v>0</v>
      </c>
      <c r="J12" s="299"/>
      <c r="K12" s="290"/>
      <c r="L12" s="304"/>
      <c r="M12" s="315"/>
      <c r="N12" s="575"/>
      <c r="O12" s="575"/>
      <c r="P12" s="575"/>
      <c r="Q12" s="575"/>
      <c r="R12" s="575"/>
      <c r="S12" s="575"/>
      <c r="T12" s="316">
        <v>5</v>
      </c>
      <c r="U12" s="575" t="s">
        <v>124</v>
      </c>
      <c r="V12" s="575"/>
      <c r="W12" s="575"/>
      <c r="X12" s="575"/>
      <c r="Y12" s="575"/>
      <c r="Z12" s="575"/>
      <c r="AA12" s="575"/>
      <c r="AB12" s="575"/>
      <c r="AC12" s="575"/>
      <c r="AD12" s="575"/>
    </row>
    <row r="13" spans="2:30" ht="15" customHeight="1" x14ac:dyDescent="0.4">
      <c r="B13" s="289"/>
      <c r="C13" s="586"/>
      <c r="D13" s="587"/>
      <c r="E13" s="588"/>
      <c r="F13" s="312"/>
      <c r="G13" s="290" t="s">
        <v>125</v>
      </c>
      <c r="H13" s="307"/>
      <c r="I13" s="317">
        <f>SUM(I12)*0.5</f>
        <v>0</v>
      </c>
      <c r="J13" s="318">
        <f>SUM(I13*0.3)</f>
        <v>0</v>
      </c>
      <c r="K13" s="290"/>
      <c r="L13" s="304"/>
      <c r="M13" s="291"/>
      <c r="N13" s="575"/>
      <c r="O13" s="575"/>
      <c r="P13" s="575"/>
      <c r="Q13" s="575"/>
      <c r="R13" s="575"/>
      <c r="S13" s="575"/>
      <c r="U13" s="575"/>
      <c r="V13" s="575"/>
      <c r="W13" s="575"/>
      <c r="X13" s="575"/>
      <c r="Y13" s="575"/>
      <c r="Z13" s="575"/>
      <c r="AA13" s="575"/>
      <c r="AB13" s="575"/>
      <c r="AC13" s="575"/>
      <c r="AD13" s="575"/>
    </row>
    <row r="14" spans="2:30" ht="12.75" customHeight="1" x14ac:dyDescent="0.4">
      <c r="B14" s="319"/>
      <c r="C14" s="586"/>
      <c r="D14" s="587"/>
      <c r="E14" s="588"/>
      <c r="F14" s="312"/>
      <c r="G14" s="290"/>
      <c r="H14" s="290"/>
      <c r="I14" s="320"/>
      <c r="J14" s="321"/>
      <c r="K14" s="297"/>
      <c r="L14" s="322"/>
      <c r="M14" s="291"/>
      <c r="N14" s="575"/>
      <c r="O14" s="575"/>
      <c r="P14" s="575"/>
      <c r="Q14" s="575"/>
      <c r="R14" s="575"/>
      <c r="S14" s="575"/>
      <c r="U14" s="575"/>
      <c r="V14" s="575"/>
      <c r="W14" s="575"/>
      <c r="X14" s="575"/>
      <c r="Y14" s="575"/>
      <c r="Z14" s="575"/>
      <c r="AA14" s="575"/>
      <c r="AB14" s="575"/>
      <c r="AC14" s="575"/>
      <c r="AD14" s="575"/>
    </row>
    <row r="15" spans="2:30" ht="12.75" customHeight="1" x14ac:dyDescent="0.4">
      <c r="B15" s="319"/>
      <c r="C15" s="323"/>
      <c r="D15" s="324" t="s">
        <v>141</v>
      </c>
      <c r="E15" s="325" t="s">
        <v>126</v>
      </c>
      <c r="F15" s="326"/>
      <c r="G15" s="290"/>
      <c r="H15" s="290"/>
      <c r="I15" s="290"/>
      <c r="J15" s="327"/>
      <c r="K15" s="297"/>
      <c r="L15" s="328" t="s">
        <v>138</v>
      </c>
      <c r="M15" s="291"/>
      <c r="N15" s="575"/>
      <c r="O15" s="575"/>
      <c r="P15" s="575"/>
      <c r="Q15" s="575"/>
      <c r="R15" s="575"/>
      <c r="S15" s="575"/>
      <c r="U15" s="575"/>
      <c r="V15" s="575"/>
      <c r="W15" s="575"/>
      <c r="X15" s="575"/>
      <c r="Y15" s="575"/>
      <c r="Z15" s="575"/>
      <c r="AA15" s="575"/>
      <c r="AB15" s="575"/>
      <c r="AC15" s="575"/>
      <c r="AD15" s="575"/>
    </row>
    <row r="16" spans="2:30" ht="12.75" customHeight="1" thickBot="1" x14ac:dyDescent="0.45">
      <c r="B16" s="319"/>
      <c r="C16" s="323"/>
      <c r="D16" s="324" t="s">
        <v>142</v>
      </c>
      <c r="E16" s="325" t="s">
        <v>127</v>
      </c>
      <c r="F16" s="326"/>
      <c r="G16" s="324" t="s">
        <v>128</v>
      </c>
      <c r="H16" s="324" t="s">
        <v>129</v>
      </c>
      <c r="I16" s="324" t="s">
        <v>130</v>
      </c>
      <c r="J16" s="324" t="s">
        <v>131</v>
      </c>
      <c r="K16" s="327"/>
      <c r="L16" s="329" t="s">
        <v>250</v>
      </c>
      <c r="M16" s="291"/>
      <c r="N16" s="575"/>
      <c r="O16" s="575"/>
      <c r="P16" s="575"/>
      <c r="Q16" s="575"/>
      <c r="R16" s="575"/>
      <c r="S16" s="575"/>
      <c r="U16" s="575"/>
      <c r="V16" s="575"/>
      <c r="W16" s="575"/>
      <c r="X16" s="575"/>
      <c r="Y16" s="575"/>
      <c r="Z16" s="575"/>
      <c r="AA16" s="575"/>
      <c r="AB16" s="575"/>
      <c r="AC16" s="575"/>
      <c r="AD16" s="575"/>
    </row>
    <row r="17" spans="2:30" ht="15" customHeight="1" x14ac:dyDescent="0.5">
      <c r="B17" s="319"/>
      <c r="C17" s="330" t="s">
        <v>11</v>
      </c>
      <c r="D17" s="331">
        <f>SUM(I5)*-1</f>
        <v>-990000.00000000012</v>
      </c>
      <c r="E17" s="332">
        <f>J7+J11+J13+J17+L17+P53</f>
        <v>604610.99565183884</v>
      </c>
      <c r="F17" s="333">
        <f>E17/D5</f>
        <v>0.6107181774260998</v>
      </c>
      <c r="G17" s="314">
        <f>SUM(I13)</f>
        <v>0</v>
      </c>
      <c r="H17" s="334">
        <v>0.2</v>
      </c>
      <c r="I17" s="335">
        <f>SUM(G17*0.2)</f>
        <v>0</v>
      </c>
      <c r="J17" s="336">
        <f>SUM(I17*0.3)</f>
        <v>0</v>
      </c>
      <c r="K17" s="326"/>
      <c r="L17" s="337">
        <f>'3. Pre-Post Solar Costs'!F15</f>
        <v>51660.995651838792</v>
      </c>
      <c r="M17" s="291"/>
      <c r="N17" s="575"/>
      <c r="O17" s="575"/>
      <c r="P17" s="575"/>
      <c r="Q17" s="575"/>
      <c r="R17" s="575"/>
      <c r="S17" s="575"/>
      <c r="U17" s="575"/>
      <c r="V17" s="575"/>
      <c r="W17" s="575"/>
      <c r="X17" s="575"/>
      <c r="Y17" s="575"/>
      <c r="Z17" s="575"/>
      <c r="AA17" s="575"/>
      <c r="AB17" s="575"/>
      <c r="AC17" s="575"/>
      <c r="AD17" s="575"/>
    </row>
    <row r="18" spans="2:30" ht="15" customHeight="1" x14ac:dyDescent="0.4">
      <c r="B18" s="319"/>
      <c r="C18" s="338" t="s">
        <v>12</v>
      </c>
      <c r="D18" s="339">
        <f t="shared" ref="D18:D41" si="0">D17+E17</f>
        <v>-385389.00434816128</v>
      </c>
      <c r="E18" s="371">
        <f>L18+J18+P54</f>
        <v>56710.825521393956</v>
      </c>
      <c r="F18" s="341" t="s">
        <v>140</v>
      </c>
      <c r="G18" s="335">
        <f>SUM(G17-I17)</f>
        <v>0</v>
      </c>
      <c r="H18" s="334">
        <v>0.32</v>
      </c>
      <c r="I18" s="342">
        <f>SUM(G17*0.32)</f>
        <v>0</v>
      </c>
      <c r="J18" s="336">
        <f t="shared" ref="J18:J22" si="1">SUM(I18*0.3)</f>
        <v>0</v>
      </c>
      <c r="K18" s="343"/>
      <c r="L18" s="344">
        <f>L17*1.03</f>
        <v>53210.825521393956</v>
      </c>
      <c r="M18" s="345"/>
      <c r="N18" s="575"/>
      <c r="O18" s="575"/>
      <c r="P18" s="575"/>
      <c r="Q18" s="575"/>
      <c r="R18" s="575"/>
      <c r="S18" s="575"/>
      <c r="U18" s="575"/>
      <c r="V18" s="575"/>
      <c r="W18" s="575"/>
      <c r="X18" s="575"/>
      <c r="Y18" s="575"/>
      <c r="Z18" s="575"/>
      <c r="AA18" s="575"/>
      <c r="AB18" s="575"/>
      <c r="AC18" s="575"/>
      <c r="AD18" s="575"/>
    </row>
    <row r="19" spans="2:30" ht="15" customHeight="1" x14ac:dyDescent="0.4">
      <c r="B19" s="319"/>
      <c r="C19" s="338" t="s">
        <v>13</v>
      </c>
      <c r="D19" s="339">
        <f t="shared" si="0"/>
        <v>-328678.17882676731</v>
      </c>
      <c r="E19" s="371">
        <f>L19+J19+P55</f>
        <v>58041.096159428802</v>
      </c>
      <c r="F19" s="346"/>
      <c r="G19" s="335">
        <f>SUM(G18-I18)</f>
        <v>0</v>
      </c>
      <c r="H19" s="347">
        <v>0.192</v>
      </c>
      <c r="I19" s="342">
        <f>SUM(G17*0.192)</f>
        <v>0</v>
      </c>
      <c r="J19" s="336">
        <f t="shared" si="1"/>
        <v>0</v>
      </c>
      <c r="K19" s="297"/>
      <c r="L19" s="344">
        <f>L18*1.025</f>
        <v>54541.096159428802</v>
      </c>
      <c r="M19" s="291"/>
      <c r="N19" s="575"/>
      <c r="O19" s="575"/>
      <c r="P19" s="575"/>
      <c r="Q19" s="575"/>
      <c r="R19" s="575"/>
      <c r="S19" s="575"/>
      <c r="U19" s="575"/>
      <c r="V19" s="575"/>
      <c r="W19" s="575"/>
      <c r="X19" s="575"/>
      <c r="Y19" s="575"/>
      <c r="Z19" s="575"/>
      <c r="AA19" s="575"/>
      <c r="AB19" s="575"/>
      <c r="AC19" s="575"/>
      <c r="AD19" s="575"/>
    </row>
    <row r="20" spans="2:30" ht="15" customHeight="1" x14ac:dyDescent="0.4">
      <c r="B20" s="319"/>
      <c r="C20" s="338" t="s">
        <v>14</v>
      </c>
      <c r="D20" s="367">
        <f t="shared" si="0"/>
        <v>-270637.08266733849</v>
      </c>
      <c r="E20" s="371">
        <f>L20+J20+P56</f>
        <v>59404.62356341452</v>
      </c>
      <c r="F20" s="346"/>
      <c r="G20" s="335">
        <f>SUM(G19-I19)</f>
        <v>0</v>
      </c>
      <c r="H20" s="348">
        <v>0.1152</v>
      </c>
      <c r="I20" s="342">
        <f>SUM(G17*0.1152)</f>
        <v>0</v>
      </c>
      <c r="J20" s="336">
        <f t="shared" si="1"/>
        <v>0</v>
      </c>
      <c r="K20" s="297"/>
      <c r="L20" s="344">
        <f t="shared" ref="L20:L41" si="2">L19*1.025</f>
        <v>55904.62356341452</v>
      </c>
      <c r="M20" s="291"/>
      <c r="N20" s="575"/>
      <c r="O20" s="575"/>
      <c r="P20" s="575"/>
      <c r="Q20" s="575"/>
      <c r="R20" s="575"/>
      <c r="S20" s="575"/>
      <c r="U20" s="575"/>
      <c r="V20" s="575"/>
      <c r="W20" s="575"/>
      <c r="X20" s="575"/>
      <c r="Y20" s="575"/>
      <c r="Z20" s="575"/>
      <c r="AA20" s="575"/>
      <c r="AB20" s="575"/>
      <c r="AC20" s="575"/>
      <c r="AD20" s="575"/>
    </row>
    <row r="21" spans="2:30" ht="15.75" customHeight="1" x14ac:dyDescent="0.5">
      <c r="B21" s="319"/>
      <c r="C21" s="338" t="s">
        <v>15</v>
      </c>
      <c r="D21" s="367">
        <f t="shared" si="0"/>
        <v>-211232.45910392396</v>
      </c>
      <c r="E21" s="371">
        <f>L21+J21+P57</f>
        <v>60802.239152499875</v>
      </c>
      <c r="F21" s="346"/>
      <c r="G21" s="335">
        <f>SUM(G20-I20)</f>
        <v>0</v>
      </c>
      <c r="H21" s="348">
        <v>0.1152</v>
      </c>
      <c r="I21" s="342">
        <f>SUM(G17*0.1152)</f>
        <v>0</v>
      </c>
      <c r="J21" s="336">
        <f t="shared" si="1"/>
        <v>0</v>
      </c>
      <c r="K21" s="297"/>
      <c r="L21" s="344">
        <f t="shared" si="2"/>
        <v>57302.239152499875</v>
      </c>
      <c r="M21" s="291"/>
      <c r="N21" s="349"/>
      <c r="O21" s="349"/>
      <c r="P21" s="349"/>
      <c r="Q21" s="349"/>
      <c r="R21" s="349"/>
      <c r="S21" s="349"/>
      <c r="T21" s="316">
        <v>6</v>
      </c>
      <c r="U21" s="575" t="s">
        <v>133</v>
      </c>
      <c r="V21" s="575"/>
      <c r="W21" s="575"/>
      <c r="X21" s="575"/>
      <c r="Y21" s="575"/>
      <c r="Z21" s="575"/>
      <c r="AA21" s="575"/>
      <c r="AB21" s="575"/>
      <c r="AC21" s="575"/>
      <c r="AD21" s="575"/>
    </row>
    <row r="22" spans="2:30" ht="12.75" customHeight="1" x14ac:dyDescent="0.5">
      <c r="B22" s="319"/>
      <c r="C22" s="338" t="s">
        <v>16</v>
      </c>
      <c r="D22" s="350">
        <f t="shared" si="0"/>
        <v>-150430.21995142408</v>
      </c>
      <c r="E22" s="371">
        <f>L22+J22+P58</f>
        <v>62234.795131312363</v>
      </c>
      <c r="F22" s="346"/>
      <c r="G22" s="335">
        <f>SUM(G21-I21)</f>
        <v>0</v>
      </c>
      <c r="H22" s="348">
        <v>5.7599999999999998E-2</v>
      </c>
      <c r="I22" s="342">
        <f>SUM(G17*0.0576)</f>
        <v>0</v>
      </c>
      <c r="J22" s="336">
        <f t="shared" si="1"/>
        <v>0</v>
      </c>
      <c r="K22" s="297"/>
      <c r="L22" s="344">
        <f t="shared" si="2"/>
        <v>58734.795131312363</v>
      </c>
      <c r="M22" s="351">
        <v>3</v>
      </c>
      <c r="N22" s="575" t="s">
        <v>132</v>
      </c>
      <c r="O22" s="575"/>
      <c r="P22" s="575"/>
      <c r="Q22" s="575"/>
      <c r="R22" s="575"/>
      <c r="S22" s="575"/>
      <c r="T22" s="316"/>
      <c r="U22" s="575"/>
      <c r="V22" s="575"/>
      <c r="W22" s="575"/>
      <c r="X22" s="575"/>
      <c r="Y22" s="575"/>
      <c r="Z22" s="575"/>
      <c r="AA22" s="575"/>
      <c r="AB22" s="575"/>
      <c r="AC22" s="575"/>
      <c r="AD22" s="575"/>
    </row>
    <row r="23" spans="2:30" ht="15" customHeight="1" x14ac:dyDescent="0.4">
      <c r="B23" s="319"/>
      <c r="C23" s="338" t="s">
        <v>17</v>
      </c>
      <c r="D23" s="350">
        <f t="shared" si="0"/>
        <v>-88195.424820111715</v>
      </c>
      <c r="E23" s="371">
        <f>L23+P59</f>
        <v>63703.16500959517</v>
      </c>
      <c r="F23" s="346"/>
      <c r="G23" s="301"/>
      <c r="H23" s="301"/>
      <c r="I23" s="290"/>
      <c r="J23" s="290"/>
      <c r="K23" s="297"/>
      <c r="L23" s="344">
        <f t="shared" si="2"/>
        <v>60203.16500959517</v>
      </c>
      <c r="N23" s="575"/>
      <c r="O23" s="575"/>
      <c r="P23" s="575"/>
      <c r="Q23" s="575"/>
      <c r="R23" s="575"/>
      <c r="S23" s="575"/>
      <c r="U23" s="575"/>
      <c r="V23" s="575"/>
      <c r="W23" s="575"/>
      <c r="X23" s="575"/>
      <c r="Y23" s="575"/>
      <c r="Z23" s="575"/>
      <c r="AA23" s="575"/>
      <c r="AB23" s="575"/>
      <c r="AC23" s="575"/>
      <c r="AD23" s="575"/>
    </row>
    <row r="24" spans="2:30" ht="15.4" customHeight="1" x14ac:dyDescent="0.4">
      <c r="B24" s="319"/>
      <c r="C24" s="338" t="s">
        <v>18</v>
      </c>
      <c r="D24" s="350">
        <f t="shared" si="0"/>
        <v>-24492.259810516545</v>
      </c>
      <c r="E24" s="371">
        <f>L24+P60</f>
        <v>65208.24413483504</v>
      </c>
      <c r="F24" s="346"/>
      <c r="G24" s="290"/>
      <c r="H24" s="290"/>
      <c r="I24" s="290"/>
      <c r="J24" s="290"/>
      <c r="K24" s="297"/>
      <c r="L24" s="344">
        <f t="shared" si="2"/>
        <v>61708.24413483504</v>
      </c>
      <c r="M24" s="291"/>
      <c r="N24" s="575"/>
      <c r="O24" s="575"/>
      <c r="P24" s="575"/>
      <c r="Q24" s="575"/>
      <c r="R24" s="575"/>
      <c r="S24" s="575"/>
      <c r="U24" s="575"/>
      <c r="V24" s="575"/>
      <c r="W24" s="575"/>
      <c r="X24" s="575"/>
      <c r="Y24" s="575"/>
      <c r="Z24" s="575"/>
      <c r="AA24" s="575"/>
      <c r="AB24" s="575"/>
      <c r="AC24" s="575"/>
      <c r="AD24" s="575"/>
    </row>
    <row r="25" spans="2:30" ht="15.4" customHeight="1" x14ac:dyDescent="0.4">
      <c r="B25" s="319"/>
      <c r="C25" s="338" t="s">
        <v>19</v>
      </c>
      <c r="D25" s="350">
        <f t="shared" si="0"/>
        <v>40715.984324318495</v>
      </c>
      <c r="E25" s="371">
        <f>L25+P61</f>
        <v>66750.9502382059</v>
      </c>
      <c r="F25" s="572" t="s">
        <v>134</v>
      </c>
      <c r="G25" s="573"/>
      <c r="H25" s="573"/>
      <c r="I25" s="573"/>
      <c r="J25" s="352">
        <f>SUM(J17:J22)+J13+J7+J11</f>
        <v>549450</v>
      </c>
      <c r="K25" s="297"/>
      <c r="L25" s="344">
        <f t="shared" si="2"/>
        <v>63250.950238205907</v>
      </c>
      <c r="M25" s="291"/>
      <c r="N25" s="575"/>
      <c r="O25" s="575"/>
      <c r="P25" s="575"/>
      <c r="Q25" s="575"/>
      <c r="R25" s="575"/>
      <c r="S25" s="575"/>
      <c r="U25" s="575"/>
      <c r="V25" s="575"/>
      <c r="W25" s="575"/>
      <c r="X25" s="575"/>
      <c r="Y25" s="575"/>
      <c r="Z25" s="575"/>
      <c r="AA25" s="575"/>
      <c r="AB25" s="575"/>
      <c r="AC25" s="575"/>
      <c r="AD25" s="575"/>
    </row>
    <row r="26" spans="2:30" ht="15.4" customHeight="1" x14ac:dyDescent="0.4">
      <c r="B26" s="319"/>
      <c r="C26" s="338" t="s">
        <v>20</v>
      </c>
      <c r="D26" s="350">
        <f t="shared" si="0"/>
        <v>107466.9345625244</v>
      </c>
      <c r="E26" s="371">
        <f>L26+P62</f>
        <v>68332.223994161046</v>
      </c>
      <c r="F26" s="346"/>
      <c r="G26" s="290"/>
      <c r="H26" s="290"/>
      <c r="I26" s="343"/>
      <c r="J26" s="343"/>
      <c r="K26" s="297"/>
      <c r="L26" s="344">
        <f t="shared" si="2"/>
        <v>64832.223994161046</v>
      </c>
      <c r="M26" s="291"/>
      <c r="N26" s="575"/>
      <c r="O26" s="575"/>
      <c r="P26" s="575"/>
      <c r="Q26" s="575"/>
      <c r="R26" s="575"/>
      <c r="S26" s="575"/>
      <c r="U26" s="575"/>
      <c r="V26" s="575"/>
      <c r="W26" s="575"/>
      <c r="X26" s="575"/>
      <c r="Y26" s="575"/>
      <c r="Z26" s="575"/>
      <c r="AA26" s="575"/>
      <c r="AB26" s="575"/>
      <c r="AC26" s="575"/>
      <c r="AD26" s="575"/>
    </row>
    <row r="27" spans="2:30" ht="15" customHeight="1" x14ac:dyDescent="0.35">
      <c r="B27" s="319"/>
      <c r="C27" s="338" t="s">
        <v>21</v>
      </c>
      <c r="D27" s="350">
        <f t="shared" si="0"/>
        <v>175799.15855668543</v>
      </c>
      <c r="E27" s="340">
        <f t="shared" ref="E27:E41" si="3">L27</f>
        <v>66453.029594015068</v>
      </c>
      <c r="F27" s="346"/>
      <c r="G27" s="290"/>
      <c r="H27" s="290"/>
      <c r="I27" s="297"/>
      <c r="J27" s="297"/>
      <c r="K27" s="343"/>
      <c r="L27" s="344">
        <f t="shared" si="2"/>
        <v>66453.029594015068</v>
      </c>
      <c r="M27" s="291"/>
      <c r="N27" s="575"/>
      <c r="O27" s="575"/>
      <c r="P27" s="575"/>
      <c r="Q27" s="575"/>
      <c r="R27" s="575"/>
      <c r="S27" s="575"/>
      <c r="U27" s="575"/>
      <c r="V27" s="575"/>
      <c r="W27" s="575"/>
      <c r="X27" s="575"/>
      <c r="Y27" s="575"/>
      <c r="Z27" s="575"/>
      <c r="AA27" s="575"/>
      <c r="AB27" s="575"/>
      <c r="AC27" s="575"/>
      <c r="AD27" s="575"/>
    </row>
    <row r="28" spans="2:30" ht="15" customHeight="1" x14ac:dyDescent="0.35">
      <c r="B28" s="319"/>
      <c r="C28" s="338" t="s">
        <v>22</v>
      </c>
      <c r="D28" s="350">
        <f t="shared" si="0"/>
        <v>242252.1881507005</v>
      </c>
      <c r="E28" s="340">
        <f t="shared" si="3"/>
        <v>68114.355333865446</v>
      </c>
      <c r="F28" s="346"/>
      <c r="G28" s="290"/>
      <c r="H28" s="290"/>
      <c r="I28" s="297"/>
      <c r="J28" s="297"/>
      <c r="K28" s="297"/>
      <c r="L28" s="344">
        <f t="shared" si="2"/>
        <v>68114.355333865446</v>
      </c>
      <c r="M28" s="291"/>
      <c r="N28" s="575"/>
      <c r="O28" s="575"/>
      <c r="P28" s="575"/>
      <c r="Q28" s="575"/>
      <c r="R28" s="575"/>
      <c r="S28" s="575"/>
      <c r="U28" s="575"/>
      <c r="V28" s="575"/>
      <c r="W28" s="575"/>
      <c r="X28" s="575"/>
      <c r="Y28" s="575"/>
      <c r="Z28" s="575"/>
      <c r="AA28" s="575"/>
      <c r="AB28" s="575"/>
      <c r="AC28" s="575"/>
      <c r="AD28" s="575"/>
    </row>
    <row r="29" spans="2:30" ht="15" customHeight="1" x14ac:dyDescent="0.35">
      <c r="B29" s="319"/>
      <c r="C29" s="338" t="s">
        <v>23</v>
      </c>
      <c r="D29" s="350">
        <f t="shared" si="0"/>
        <v>310366.54348456592</v>
      </c>
      <c r="E29" s="340">
        <f t="shared" si="3"/>
        <v>69817.21421721208</v>
      </c>
      <c r="F29" s="346"/>
      <c r="G29" s="290"/>
      <c r="H29" s="290"/>
      <c r="I29" s="297"/>
      <c r="J29" s="297"/>
      <c r="K29" s="297"/>
      <c r="L29" s="344">
        <f t="shared" si="2"/>
        <v>69817.21421721208</v>
      </c>
      <c r="M29" s="291"/>
      <c r="N29" s="575"/>
      <c r="O29" s="575"/>
      <c r="P29" s="575"/>
      <c r="Q29" s="575"/>
      <c r="R29" s="575"/>
      <c r="S29" s="575"/>
      <c r="U29" s="575"/>
      <c r="V29" s="575"/>
      <c r="W29" s="575"/>
      <c r="X29" s="575"/>
      <c r="Y29" s="575"/>
      <c r="Z29" s="575"/>
      <c r="AA29" s="575"/>
      <c r="AB29" s="575"/>
      <c r="AC29" s="575"/>
      <c r="AD29" s="575"/>
    </row>
    <row r="30" spans="2:30" ht="15.4" customHeight="1" x14ac:dyDescent="0.35">
      <c r="B30" s="319"/>
      <c r="C30" s="338" t="s">
        <v>24</v>
      </c>
      <c r="D30" s="350">
        <f t="shared" si="0"/>
        <v>380183.75770177797</v>
      </c>
      <c r="E30" s="340">
        <f t="shared" si="3"/>
        <v>71562.64457264237</v>
      </c>
      <c r="F30" s="346"/>
      <c r="G30" s="290"/>
      <c r="H30" s="290"/>
      <c r="I30" s="297"/>
      <c r="J30" s="297"/>
      <c r="K30" s="297"/>
      <c r="L30" s="344">
        <f t="shared" si="2"/>
        <v>71562.64457264237</v>
      </c>
      <c r="N30" s="575"/>
      <c r="O30" s="575"/>
      <c r="P30" s="575"/>
      <c r="Q30" s="575"/>
      <c r="R30" s="575"/>
      <c r="S30" s="575"/>
      <c r="U30" s="575"/>
      <c r="V30" s="575"/>
      <c r="W30" s="575"/>
      <c r="X30" s="575"/>
      <c r="Y30" s="575"/>
      <c r="Z30" s="575"/>
      <c r="AA30" s="575"/>
      <c r="AB30" s="575"/>
      <c r="AC30" s="575"/>
      <c r="AD30" s="575"/>
    </row>
    <row r="31" spans="2:30" ht="15.4" customHeight="1" x14ac:dyDescent="0.35">
      <c r="B31" s="319"/>
      <c r="C31" s="338" t="s">
        <v>25</v>
      </c>
      <c r="D31" s="350">
        <f t="shared" si="0"/>
        <v>451746.40227442037</v>
      </c>
      <c r="E31" s="340">
        <f t="shared" si="3"/>
        <v>73351.710686958424</v>
      </c>
      <c r="F31" s="346"/>
      <c r="G31" s="290"/>
      <c r="H31" s="290"/>
      <c r="I31" s="297"/>
      <c r="J31" s="297"/>
      <c r="K31" s="297"/>
      <c r="L31" s="344">
        <f t="shared" si="2"/>
        <v>73351.710686958424</v>
      </c>
      <c r="M31" s="291"/>
      <c r="N31" s="575"/>
      <c r="O31" s="575"/>
      <c r="P31" s="575"/>
      <c r="Q31" s="575"/>
      <c r="R31" s="575"/>
      <c r="S31" s="575"/>
      <c r="U31" s="575"/>
      <c r="V31" s="575"/>
      <c r="W31" s="575"/>
      <c r="X31" s="575"/>
      <c r="Y31" s="575"/>
      <c r="Z31" s="575"/>
      <c r="AA31" s="575"/>
      <c r="AB31" s="575"/>
      <c r="AC31" s="575"/>
      <c r="AD31" s="575"/>
    </row>
    <row r="32" spans="2:30" ht="15.4" customHeight="1" x14ac:dyDescent="0.35">
      <c r="B32" s="319"/>
      <c r="C32" s="338" t="s">
        <v>26</v>
      </c>
      <c r="D32" s="350">
        <f t="shared" si="0"/>
        <v>525098.11296137876</v>
      </c>
      <c r="E32" s="340">
        <f t="shared" si="3"/>
        <v>75185.503454132384</v>
      </c>
      <c r="F32" s="346"/>
      <c r="G32" s="290"/>
      <c r="H32" s="290"/>
      <c r="I32" s="297"/>
      <c r="J32" s="297"/>
      <c r="K32" s="297"/>
      <c r="L32" s="344">
        <f t="shared" si="2"/>
        <v>75185.503454132384</v>
      </c>
      <c r="M32" s="291"/>
      <c r="N32" s="575"/>
      <c r="O32" s="575"/>
      <c r="P32" s="575"/>
      <c r="Q32" s="575"/>
      <c r="R32" s="575"/>
      <c r="S32" s="575"/>
      <c r="U32" s="575"/>
      <c r="V32" s="575"/>
      <c r="W32" s="575"/>
      <c r="X32" s="575"/>
      <c r="Y32" s="575"/>
      <c r="Z32" s="575"/>
      <c r="AA32" s="575"/>
      <c r="AB32" s="575"/>
      <c r="AC32" s="575"/>
      <c r="AD32" s="575"/>
    </row>
    <row r="33" spans="2:30" ht="15" customHeight="1" x14ac:dyDescent="0.35">
      <c r="B33" s="319"/>
      <c r="C33" s="338" t="s">
        <v>27</v>
      </c>
      <c r="D33" s="350">
        <f t="shared" si="0"/>
        <v>600283.61641551112</v>
      </c>
      <c r="E33" s="340">
        <f t="shared" si="3"/>
        <v>77065.141040485687</v>
      </c>
      <c r="F33" s="346"/>
      <c r="G33" s="290"/>
      <c r="H33" s="290"/>
      <c r="I33" s="297"/>
      <c r="J33" s="297"/>
      <c r="K33" s="297"/>
      <c r="L33" s="344">
        <f t="shared" si="2"/>
        <v>77065.141040485687</v>
      </c>
      <c r="M33" s="291"/>
      <c r="N33" s="575"/>
      <c r="O33" s="575"/>
      <c r="P33" s="575"/>
      <c r="Q33" s="575"/>
      <c r="R33" s="575"/>
      <c r="S33" s="575"/>
      <c r="U33" s="575"/>
      <c r="V33" s="575"/>
      <c r="W33" s="575"/>
      <c r="X33" s="575"/>
      <c r="Y33" s="575"/>
      <c r="Z33" s="575"/>
      <c r="AA33" s="575"/>
      <c r="AB33" s="575"/>
      <c r="AC33" s="575"/>
      <c r="AD33" s="575"/>
    </row>
    <row r="34" spans="2:30" ht="12.75" customHeight="1" x14ac:dyDescent="0.35">
      <c r="B34" s="319"/>
      <c r="C34" s="338" t="s">
        <v>28</v>
      </c>
      <c r="D34" s="350">
        <f t="shared" si="0"/>
        <v>677348.75745599682</v>
      </c>
      <c r="E34" s="340">
        <f t="shared" si="3"/>
        <v>78991.769566497824</v>
      </c>
      <c r="F34" s="346"/>
      <c r="G34" s="290"/>
      <c r="H34" s="290"/>
      <c r="I34" s="297"/>
      <c r="J34" s="297"/>
      <c r="K34" s="297"/>
      <c r="L34" s="344">
        <f t="shared" si="2"/>
        <v>78991.769566497824</v>
      </c>
      <c r="M34" s="291"/>
      <c r="N34" s="575"/>
      <c r="O34" s="575"/>
      <c r="P34" s="575"/>
      <c r="Q34" s="575"/>
      <c r="R34" s="575"/>
      <c r="S34" s="575"/>
      <c r="U34" s="575"/>
      <c r="V34" s="575"/>
      <c r="W34" s="575"/>
      <c r="X34" s="575"/>
      <c r="Y34" s="575"/>
      <c r="Z34" s="575"/>
      <c r="AA34" s="575"/>
      <c r="AB34" s="575"/>
      <c r="AC34" s="575"/>
      <c r="AD34" s="575"/>
    </row>
    <row r="35" spans="2:30" ht="12.75" customHeight="1" x14ac:dyDescent="0.35">
      <c r="B35" s="319"/>
      <c r="C35" s="338" t="s">
        <v>29</v>
      </c>
      <c r="D35" s="350">
        <f t="shared" si="0"/>
        <v>756340.5270224947</v>
      </c>
      <c r="E35" s="340">
        <f t="shared" si="3"/>
        <v>80966.563805660262</v>
      </c>
      <c r="F35" s="346"/>
      <c r="G35" s="290"/>
      <c r="H35" s="290"/>
      <c r="I35" s="297"/>
      <c r="J35" s="297"/>
      <c r="K35" s="297"/>
      <c r="L35" s="344">
        <f t="shared" si="2"/>
        <v>80966.563805660262</v>
      </c>
      <c r="M35" s="291"/>
      <c r="N35" s="575"/>
      <c r="O35" s="575"/>
      <c r="P35" s="575"/>
      <c r="Q35" s="575"/>
      <c r="R35" s="575"/>
      <c r="S35" s="575"/>
      <c r="U35" s="575"/>
      <c r="V35" s="575"/>
      <c r="W35" s="575"/>
      <c r="X35" s="575"/>
      <c r="Y35" s="575"/>
      <c r="Z35" s="575"/>
      <c r="AA35" s="575"/>
      <c r="AB35" s="575"/>
      <c r="AC35" s="575"/>
      <c r="AD35" s="575"/>
    </row>
    <row r="36" spans="2:30" ht="15" customHeight="1" x14ac:dyDescent="0.35">
      <c r="B36" s="319"/>
      <c r="C36" s="338" t="s">
        <v>30</v>
      </c>
      <c r="D36" s="350">
        <f t="shared" si="0"/>
        <v>837307.09082815493</v>
      </c>
      <c r="E36" s="340">
        <f t="shared" si="3"/>
        <v>82990.727900801765</v>
      </c>
      <c r="F36" s="346"/>
      <c r="G36" s="290"/>
      <c r="H36" s="290"/>
      <c r="I36" s="297"/>
      <c r="J36" s="297"/>
      <c r="K36" s="297"/>
      <c r="L36" s="344">
        <f t="shared" si="2"/>
        <v>82990.727900801765</v>
      </c>
      <c r="M36" s="291"/>
      <c r="N36" s="575"/>
      <c r="O36" s="575"/>
      <c r="P36" s="575"/>
      <c r="Q36" s="575"/>
      <c r="R36" s="575"/>
      <c r="S36" s="575"/>
      <c r="U36" s="575"/>
      <c r="V36" s="575"/>
      <c r="W36" s="575"/>
      <c r="X36" s="575"/>
      <c r="Y36" s="575"/>
      <c r="Z36" s="575"/>
      <c r="AA36" s="575"/>
      <c r="AB36" s="575"/>
      <c r="AC36" s="575"/>
      <c r="AD36" s="575"/>
    </row>
    <row r="37" spans="2:30" ht="15.4" customHeight="1" x14ac:dyDescent="0.35">
      <c r="B37" s="319"/>
      <c r="C37" s="338" t="s">
        <v>33</v>
      </c>
      <c r="D37" s="353">
        <f t="shared" si="0"/>
        <v>920297.81872895674</v>
      </c>
      <c r="E37" s="340">
        <f t="shared" si="3"/>
        <v>85065.496098321804</v>
      </c>
      <c r="F37" s="354"/>
      <c r="G37" s="297"/>
      <c r="H37" s="297"/>
      <c r="I37" s="297"/>
      <c r="J37" s="297"/>
      <c r="K37" s="297"/>
      <c r="L37" s="344">
        <f t="shared" si="2"/>
        <v>85065.496098321804</v>
      </c>
      <c r="M37" s="291"/>
      <c r="N37" s="355"/>
      <c r="O37" s="355"/>
      <c r="P37" s="355"/>
      <c r="Q37" s="355"/>
      <c r="R37" s="355"/>
      <c r="S37" s="355"/>
      <c r="U37" s="575"/>
      <c r="V37" s="575"/>
      <c r="W37" s="575"/>
      <c r="X37" s="575"/>
      <c r="Y37" s="575"/>
      <c r="Z37" s="575"/>
      <c r="AA37" s="575"/>
      <c r="AB37" s="575"/>
      <c r="AC37" s="575"/>
      <c r="AD37" s="575"/>
    </row>
    <row r="38" spans="2:30" ht="15.4" customHeight="1" x14ac:dyDescent="0.35">
      <c r="B38" s="319"/>
      <c r="C38" s="338" t="s">
        <v>34</v>
      </c>
      <c r="D38" s="353">
        <f t="shared" si="0"/>
        <v>1005363.3148272785</v>
      </c>
      <c r="E38" s="340">
        <f t="shared" si="3"/>
        <v>87192.133500779848</v>
      </c>
      <c r="F38" s="354"/>
      <c r="G38" s="297"/>
      <c r="H38" s="297"/>
      <c r="I38" s="297"/>
      <c r="J38" s="297"/>
      <c r="K38" s="297"/>
      <c r="L38" s="344">
        <f t="shared" si="2"/>
        <v>87192.133500779848</v>
      </c>
      <c r="M38" s="291"/>
      <c r="N38" s="355"/>
      <c r="O38" s="355"/>
      <c r="P38" s="355"/>
      <c r="Q38" s="355"/>
      <c r="R38" s="355"/>
      <c r="S38" s="355"/>
      <c r="U38" s="575"/>
      <c r="V38" s="575"/>
      <c r="W38" s="575"/>
      <c r="X38" s="575"/>
      <c r="Y38" s="575"/>
      <c r="Z38" s="575"/>
      <c r="AA38" s="575"/>
      <c r="AB38" s="575"/>
      <c r="AC38" s="575"/>
      <c r="AD38" s="575"/>
    </row>
    <row r="39" spans="2:30" ht="15.4" customHeight="1" x14ac:dyDescent="0.35">
      <c r="B39" s="319"/>
      <c r="C39" s="338" t="s">
        <v>35</v>
      </c>
      <c r="D39" s="353">
        <f t="shared" si="0"/>
        <v>1092555.4483280582</v>
      </c>
      <c r="E39" s="340">
        <f t="shared" si="3"/>
        <v>89371.936838299342</v>
      </c>
      <c r="F39" s="354"/>
      <c r="G39" s="297"/>
      <c r="H39" s="297"/>
      <c r="I39" s="297"/>
      <c r="J39" s="297"/>
      <c r="K39" s="297"/>
      <c r="L39" s="344">
        <f t="shared" si="2"/>
        <v>89371.936838299342</v>
      </c>
      <c r="M39" s="291"/>
      <c r="N39" s="355"/>
      <c r="O39" s="355"/>
      <c r="P39" s="355"/>
      <c r="Q39" s="355"/>
      <c r="R39" s="355"/>
      <c r="S39" s="355"/>
      <c r="U39" s="575"/>
      <c r="V39" s="575"/>
      <c r="W39" s="575"/>
      <c r="X39" s="575"/>
      <c r="Y39" s="575"/>
      <c r="Z39" s="575"/>
      <c r="AA39" s="575"/>
      <c r="AB39" s="575"/>
      <c r="AC39" s="575"/>
      <c r="AD39" s="575"/>
    </row>
    <row r="40" spans="2:30" ht="15.4" customHeight="1" x14ac:dyDescent="0.35">
      <c r="B40" s="319"/>
      <c r="C40" s="338" t="s">
        <v>36</v>
      </c>
      <c r="D40" s="353">
        <f t="shared" si="0"/>
        <v>1181927.3851663575</v>
      </c>
      <c r="E40" s="340">
        <f t="shared" si="3"/>
        <v>91606.23525925682</v>
      </c>
      <c r="F40" s="354"/>
      <c r="G40" s="297"/>
      <c r="H40" s="297"/>
      <c r="I40" s="297"/>
      <c r="J40" s="297"/>
      <c r="K40" s="297"/>
      <c r="L40" s="344">
        <f t="shared" si="2"/>
        <v>91606.23525925682</v>
      </c>
      <c r="M40" s="291"/>
      <c r="N40" s="355"/>
      <c r="O40" s="355"/>
      <c r="P40" s="355"/>
      <c r="Q40" s="355"/>
      <c r="R40" s="355"/>
      <c r="S40" s="355"/>
      <c r="U40" s="575"/>
      <c r="V40" s="575"/>
      <c r="W40" s="575"/>
      <c r="X40" s="575"/>
      <c r="Y40" s="575"/>
      <c r="Z40" s="575"/>
      <c r="AA40" s="575"/>
      <c r="AB40" s="575"/>
      <c r="AC40" s="575"/>
      <c r="AD40" s="575"/>
    </row>
    <row r="41" spans="2:30" ht="15" customHeight="1" thickBot="1" x14ac:dyDescent="0.4">
      <c r="B41" s="319"/>
      <c r="C41" s="356" t="s">
        <v>37</v>
      </c>
      <c r="D41" s="357">
        <f t="shared" si="0"/>
        <v>1273533.6204256143</v>
      </c>
      <c r="E41" s="358">
        <f t="shared" si="3"/>
        <v>93896.391140738226</v>
      </c>
      <c r="F41" s="354"/>
      <c r="G41" s="297"/>
      <c r="H41" s="297"/>
      <c r="I41" s="297"/>
      <c r="J41" s="297"/>
      <c r="K41" s="297"/>
      <c r="L41" s="344">
        <f t="shared" si="2"/>
        <v>93896.391140738226</v>
      </c>
      <c r="M41" s="291"/>
      <c r="N41" s="355"/>
      <c r="O41" s="355"/>
      <c r="P41" s="355"/>
      <c r="Q41" s="355"/>
      <c r="R41" s="355"/>
      <c r="S41" s="355"/>
      <c r="U41" s="575"/>
      <c r="V41" s="575"/>
      <c r="W41" s="575"/>
      <c r="X41" s="575"/>
      <c r="Y41" s="575"/>
      <c r="Z41" s="575"/>
      <c r="AA41" s="575"/>
      <c r="AB41" s="575"/>
      <c r="AC41" s="575"/>
      <c r="AD41" s="575"/>
    </row>
    <row r="42" spans="2:30" ht="13.15" customHeight="1" x14ac:dyDescent="0.4">
      <c r="B42" s="289"/>
      <c r="C42" s="290"/>
      <c r="D42" s="290"/>
      <c r="E42" s="290"/>
      <c r="F42" s="290"/>
      <c r="G42" s="290"/>
      <c r="H42" s="290"/>
      <c r="I42" s="576" t="s">
        <v>135</v>
      </c>
      <c r="J42" s="576"/>
      <c r="K42" s="290"/>
      <c r="L42" s="359">
        <f>SUM(L17:L41)</f>
        <v>1772980.0115663526</v>
      </c>
      <c r="N42" s="355"/>
      <c r="O42" s="355"/>
      <c r="P42" s="355"/>
      <c r="Q42" s="355"/>
      <c r="R42" s="355"/>
      <c r="S42" s="355"/>
      <c r="U42" s="575"/>
      <c r="V42" s="575"/>
      <c r="W42" s="575"/>
      <c r="X42" s="575"/>
      <c r="Y42" s="575"/>
      <c r="Z42" s="575"/>
      <c r="AA42" s="575"/>
      <c r="AB42" s="575"/>
      <c r="AC42" s="575"/>
      <c r="AD42" s="575"/>
    </row>
    <row r="43" spans="2:30" ht="20.25" customHeight="1" x14ac:dyDescent="0.35">
      <c r="B43" s="566" t="s">
        <v>251</v>
      </c>
      <c r="C43" s="567"/>
      <c r="D43" s="567"/>
      <c r="E43" s="567"/>
      <c r="F43" s="567"/>
      <c r="G43" s="567"/>
      <c r="H43" s="567"/>
      <c r="I43" s="567"/>
      <c r="J43" s="567"/>
      <c r="K43" s="567"/>
      <c r="L43" s="568"/>
      <c r="N43" s="355"/>
      <c r="O43" s="355"/>
      <c r="P43" s="355"/>
      <c r="Q43" s="355"/>
      <c r="R43" s="355"/>
      <c r="S43" s="355"/>
      <c r="U43" s="575"/>
      <c r="V43" s="575"/>
      <c r="W43" s="575"/>
      <c r="X43" s="575"/>
      <c r="Y43" s="575"/>
      <c r="Z43" s="575"/>
      <c r="AA43" s="575"/>
      <c r="AB43" s="575"/>
      <c r="AC43" s="575"/>
      <c r="AD43" s="575"/>
    </row>
    <row r="44" spans="2:30" ht="94.5" customHeight="1" thickBot="1" x14ac:dyDescent="0.4">
      <c r="B44" s="569"/>
      <c r="C44" s="570"/>
      <c r="D44" s="570"/>
      <c r="E44" s="570"/>
      <c r="F44" s="570"/>
      <c r="G44" s="570"/>
      <c r="H44" s="570"/>
      <c r="I44" s="570"/>
      <c r="J44" s="570"/>
      <c r="K44" s="570"/>
      <c r="L44" s="571"/>
      <c r="N44" s="355"/>
      <c r="O44" s="355"/>
      <c r="P44" s="355"/>
      <c r="Q44" s="355"/>
      <c r="R44" s="355"/>
      <c r="S44" s="355"/>
      <c r="U44" s="575"/>
      <c r="V44" s="575"/>
      <c r="W44" s="575"/>
      <c r="X44" s="575"/>
      <c r="Y44" s="575"/>
      <c r="Z44" s="575"/>
      <c r="AA44" s="575"/>
      <c r="AB44" s="575"/>
      <c r="AC44" s="575"/>
      <c r="AD44" s="575"/>
    </row>
    <row r="45" spans="2:30" ht="13.9" x14ac:dyDescent="0.4">
      <c r="B45" s="574"/>
      <c r="C45" s="574"/>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row>
    <row r="48" spans="2:30" ht="13.15" x14ac:dyDescent="0.4">
      <c r="G48" s="360" t="s">
        <v>114</v>
      </c>
    </row>
    <row r="49" spans="7:16" ht="13.15" x14ac:dyDescent="0.4">
      <c r="G49" s="360" t="s">
        <v>146</v>
      </c>
    </row>
    <row r="50" spans="7:16" ht="13.15" thickBot="1" x14ac:dyDescent="0.4">
      <c r="O50" s="280" t="s">
        <v>193</v>
      </c>
    </row>
    <row r="51" spans="7:16" ht="13.15" thickTop="1" x14ac:dyDescent="0.35">
      <c r="G51" s="361">
        <f>D17</f>
        <v>-990000.00000000012</v>
      </c>
    </row>
    <row r="52" spans="7:16" x14ac:dyDescent="0.35">
      <c r="G52" s="362">
        <f>E17</f>
        <v>604610.99565183884</v>
      </c>
      <c r="O52" s="280">
        <f>'4. SC Quote'!I23</f>
        <v>35000</v>
      </c>
    </row>
    <row r="53" spans="7:16" x14ac:dyDescent="0.35">
      <c r="G53" s="362">
        <f t="shared" ref="G53:G76" si="4">E18</f>
        <v>56710.825521393956</v>
      </c>
      <c r="O53" s="280">
        <f>MAX(O52-3500,0)</f>
        <v>31500</v>
      </c>
      <c r="P53" s="280">
        <f>O52-O53</f>
        <v>3500</v>
      </c>
    </row>
    <row r="54" spans="7:16" x14ac:dyDescent="0.35">
      <c r="G54" s="362">
        <f t="shared" si="4"/>
        <v>58041.096159428802</v>
      </c>
      <c r="O54" s="280">
        <f>MAX(O53-3500,0)</f>
        <v>28000</v>
      </c>
      <c r="P54" s="280">
        <f>O53-O54</f>
        <v>3500</v>
      </c>
    </row>
    <row r="55" spans="7:16" x14ac:dyDescent="0.35">
      <c r="G55" s="362">
        <f t="shared" si="4"/>
        <v>59404.62356341452</v>
      </c>
      <c r="O55" s="280">
        <f>MAX(O54-3500,0)</f>
        <v>24500</v>
      </c>
      <c r="P55" s="280">
        <f>O54-O55</f>
        <v>3500</v>
      </c>
    </row>
    <row r="56" spans="7:16" x14ac:dyDescent="0.35">
      <c r="G56" s="362">
        <f t="shared" si="4"/>
        <v>60802.239152499875</v>
      </c>
      <c r="O56" s="280">
        <f>MAX(O55-3500,0)</f>
        <v>21000</v>
      </c>
      <c r="P56" s="280">
        <f>O55-O56</f>
        <v>3500</v>
      </c>
    </row>
    <row r="57" spans="7:16" x14ac:dyDescent="0.35">
      <c r="G57" s="362">
        <f t="shared" si="4"/>
        <v>62234.795131312363</v>
      </c>
      <c r="O57" s="280">
        <f>MAX(O56-3500,0)</f>
        <v>17500</v>
      </c>
      <c r="P57" s="280">
        <f>O56-O57</f>
        <v>3500</v>
      </c>
    </row>
    <row r="58" spans="7:16" x14ac:dyDescent="0.35">
      <c r="G58" s="362">
        <f t="shared" si="4"/>
        <v>63703.16500959517</v>
      </c>
      <c r="O58" s="280">
        <f>MAX(O57-3500,0)</f>
        <v>14000</v>
      </c>
      <c r="P58" s="280">
        <f>O57-O58</f>
        <v>3500</v>
      </c>
    </row>
    <row r="59" spans="7:16" x14ac:dyDescent="0.35">
      <c r="G59" s="362">
        <f t="shared" si="4"/>
        <v>65208.24413483504</v>
      </c>
      <c r="O59" s="280">
        <f>MAX(O58-3500,0)</f>
        <v>10500</v>
      </c>
      <c r="P59" s="280">
        <f>O58-O59</f>
        <v>3500</v>
      </c>
    </row>
    <row r="60" spans="7:16" x14ac:dyDescent="0.35">
      <c r="G60" s="362">
        <f t="shared" si="4"/>
        <v>66750.9502382059</v>
      </c>
      <c r="O60" s="280">
        <f>MAX(O59-3500,0)</f>
        <v>7000</v>
      </c>
      <c r="P60" s="280">
        <f>O59-O60</f>
        <v>3500</v>
      </c>
    </row>
    <row r="61" spans="7:16" x14ac:dyDescent="0.35">
      <c r="G61" s="362">
        <f t="shared" si="4"/>
        <v>68332.223994161046</v>
      </c>
      <c r="O61" s="280">
        <f>MAX(O60-3500,0)</f>
        <v>3500</v>
      </c>
      <c r="P61" s="280">
        <f>O60-O61</f>
        <v>3500</v>
      </c>
    </row>
    <row r="62" spans="7:16" x14ac:dyDescent="0.35">
      <c r="G62" s="362">
        <f t="shared" si="4"/>
        <v>66453.029594015068</v>
      </c>
      <c r="O62" s="280">
        <f t="shared" ref="O62" si="5">MAX(O61-3500,0)</f>
        <v>0</v>
      </c>
      <c r="P62" s="280">
        <f t="shared" ref="P62" si="6">O61-O62</f>
        <v>3500</v>
      </c>
    </row>
    <row r="63" spans="7:16" x14ac:dyDescent="0.35">
      <c r="G63" s="362">
        <f t="shared" si="4"/>
        <v>68114.355333865446</v>
      </c>
    </row>
    <row r="64" spans="7:16" x14ac:dyDescent="0.35">
      <c r="G64" s="362">
        <f t="shared" si="4"/>
        <v>69817.21421721208</v>
      </c>
    </row>
    <row r="65" spans="6:7" x14ac:dyDescent="0.35">
      <c r="G65" s="362">
        <f t="shared" si="4"/>
        <v>71562.64457264237</v>
      </c>
    </row>
    <row r="66" spans="6:7" x14ac:dyDescent="0.35">
      <c r="G66" s="362">
        <f t="shared" si="4"/>
        <v>73351.710686958424</v>
      </c>
    </row>
    <row r="67" spans="6:7" x14ac:dyDescent="0.35">
      <c r="G67" s="362">
        <f t="shared" si="4"/>
        <v>75185.503454132384</v>
      </c>
    </row>
    <row r="68" spans="6:7" x14ac:dyDescent="0.35">
      <c r="G68" s="362">
        <f t="shared" si="4"/>
        <v>77065.141040485687</v>
      </c>
    </row>
    <row r="69" spans="6:7" x14ac:dyDescent="0.35">
      <c r="G69" s="362">
        <f t="shared" si="4"/>
        <v>78991.769566497824</v>
      </c>
    </row>
    <row r="70" spans="6:7" x14ac:dyDescent="0.35">
      <c r="G70" s="362">
        <f t="shared" si="4"/>
        <v>80966.563805660262</v>
      </c>
    </row>
    <row r="71" spans="6:7" x14ac:dyDescent="0.35">
      <c r="G71" s="362">
        <f t="shared" si="4"/>
        <v>82990.727900801765</v>
      </c>
    </row>
    <row r="72" spans="6:7" x14ac:dyDescent="0.35">
      <c r="G72" s="362">
        <f t="shared" si="4"/>
        <v>85065.496098321804</v>
      </c>
    </row>
    <row r="73" spans="6:7" x14ac:dyDescent="0.35">
      <c r="G73" s="362">
        <f t="shared" si="4"/>
        <v>87192.133500779848</v>
      </c>
    </row>
    <row r="74" spans="6:7" x14ac:dyDescent="0.35">
      <c r="G74" s="362">
        <f t="shared" si="4"/>
        <v>89371.936838299342</v>
      </c>
    </row>
    <row r="75" spans="6:7" x14ac:dyDescent="0.35">
      <c r="G75" s="362">
        <f t="shared" si="4"/>
        <v>91606.23525925682</v>
      </c>
    </row>
    <row r="76" spans="6:7" ht="13.15" thickBot="1" x14ac:dyDescent="0.4">
      <c r="G76" s="363">
        <f t="shared" si="4"/>
        <v>93896.391140738226</v>
      </c>
    </row>
    <row r="77" spans="6:7" ht="13.5" thickTop="1" thickBot="1" x14ac:dyDescent="0.4"/>
    <row r="78" spans="6:7" ht="21.4" thickTop="1" thickBot="1" x14ac:dyDescent="0.65">
      <c r="F78" s="364" t="s">
        <v>112</v>
      </c>
      <c r="G78" s="365">
        <f>IRR(G51:G76)</f>
        <v>0.12163608298305029</v>
      </c>
    </row>
    <row r="79" spans="6:7" ht="13.15" thickTop="1" x14ac:dyDescent="0.35"/>
  </sheetData>
  <mergeCells count="18">
    <mergeCell ref="C2:E2"/>
    <mergeCell ref="G2:I2"/>
    <mergeCell ref="G3:I3"/>
    <mergeCell ref="N3:S9"/>
    <mergeCell ref="U3:AD11"/>
    <mergeCell ref="C4:E4"/>
    <mergeCell ref="J4:L4"/>
    <mergeCell ref="C9:E14"/>
    <mergeCell ref="N11:S20"/>
    <mergeCell ref="U12:AD20"/>
    <mergeCell ref="B43:L44"/>
    <mergeCell ref="F25:I25"/>
    <mergeCell ref="B45:L45"/>
    <mergeCell ref="M45:W45"/>
    <mergeCell ref="X45:AD45"/>
    <mergeCell ref="U21:AD44"/>
    <mergeCell ref="N22:S36"/>
    <mergeCell ref="I42:J42"/>
  </mergeCells>
  <pageMargins left="0" right="0" top="0" bottom="0" header="0.3" footer="0.3"/>
  <pageSetup paperSize="17" scale="95" orientation="landscape" horizontalDpi="1200" verticalDpi="1200" r:id="rId1"/>
  <headerFooter>
    <oddHeader>&amp;R&amp;D</oddHeader>
    <oddFooter>&amp;C2 Corpus Cristi Place Hilton Head, SC 29928             844.765.2793</oddFooter>
  </headerFooter>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J56"/>
  <sheetViews>
    <sheetView topLeftCell="A2" zoomScale="90" zoomScaleNormal="90" workbookViewId="0">
      <selection activeCell="F43" sqref="F43:G43"/>
    </sheetView>
  </sheetViews>
  <sheetFormatPr defaultRowHeight="12.75" x14ac:dyDescent="0.35"/>
  <cols>
    <col min="2" max="2" width="11.33203125" customWidth="1"/>
    <col min="3" max="3" width="13.3984375" customWidth="1"/>
    <col min="4" max="4" width="15.796875" customWidth="1"/>
    <col min="6" max="6" width="12.796875" customWidth="1"/>
    <col min="7" max="7" width="11" bestFit="1" customWidth="1"/>
    <col min="10" max="10" width="11.33203125" customWidth="1"/>
  </cols>
  <sheetData>
    <row r="1" spans="1:10" ht="70.900000000000006" customHeight="1" thickBot="1" x14ac:dyDescent="0.4">
      <c r="A1" s="372"/>
      <c r="B1" s="372"/>
      <c r="C1" s="372"/>
      <c r="D1" s="372"/>
      <c r="E1" s="372"/>
      <c r="F1" s="372"/>
      <c r="G1" s="372"/>
      <c r="H1" s="372"/>
      <c r="I1" s="372"/>
      <c r="J1" s="372"/>
    </row>
    <row r="2" spans="1:10" ht="13.15" thickTop="1" x14ac:dyDescent="0.35">
      <c r="A2" s="593" t="s">
        <v>156</v>
      </c>
      <c r="B2" s="594"/>
      <c r="C2" s="594"/>
      <c r="D2" s="596" t="str">
        <f>'1. ANNUAL USAGE '!C3</f>
        <v>Le Creuset of America, Inc.</v>
      </c>
      <c r="E2" s="596"/>
      <c r="F2" s="596"/>
      <c r="G2" s="596"/>
      <c r="H2" s="596"/>
      <c r="I2" s="596"/>
      <c r="J2" s="597"/>
    </row>
    <row r="3" spans="1:10" ht="13.15" thickBot="1" x14ac:dyDescent="0.4">
      <c r="A3" s="595"/>
      <c r="B3" s="590"/>
      <c r="C3" s="590"/>
      <c r="D3" s="598"/>
      <c r="E3" s="598"/>
      <c r="F3" s="598"/>
      <c r="G3" s="598"/>
      <c r="H3" s="598"/>
      <c r="I3" s="598"/>
      <c r="J3" s="599"/>
    </row>
    <row r="4" spans="1:10" ht="13.15" thickTop="1" x14ac:dyDescent="0.35">
      <c r="A4" s="373"/>
      <c r="B4" s="374"/>
      <c r="C4" s="374"/>
      <c r="D4" s="374"/>
      <c r="E4" s="374"/>
      <c r="F4" s="374"/>
      <c r="G4" s="374"/>
      <c r="H4" s="374"/>
      <c r="I4" s="374"/>
      <c r="J4" s="375"/>
    </row>
    <row r="5" spans="1:10" x14ac:dyDescent="0.35">
      <c r="A5" s="376"/>
      <c r="B5" s="377"/>
      <c r="C5" s="377"/>
      <c r="D5" s="377"/>
      <c r="E5" s="377"/>
      <c r="F5" s="377"/>
      <c r="G5" s="377"/>
      <c r="H5" s="377"/>
      <c r="I5" s="377"/>
      <c r="J5" s="378"/>
    </row>
    <row r="6" spans="1:10" ht="13.15" x14ac:dyDescent="0.4">
      <c r="A6" s="589" t="s">
        <v>157</v>
      </c>
      <c r="B6" s="590"/>
      <c r="C6" s="590"/>
      <c r="D6" s="600">
        <f>'1. ANNUAL USAGE '!E21</f>
        <v>549440</v>
      </c>
      <c r="E6" s="600"/>
      <c r="F6" s="600"/>
      <c r="G6" s="379" t="s">
        <v>158</v>
      </c>
      <c r="H6" s="377"/>
      <c r="I6" s="377"/>
      <c r="J6" s="378"/>
    </row>
    <row r="7" spans="1:10" x14ac:dyDescent="0.35">
      <c r="A7" s="376"/>
      <c r="B7" s="377"/>
      <c r="C7" s="377"/>
      <c r="D7" s="377"/>
      <c r="E7" s="377"/>
      <c r="F7" s="377"/>
      <c r="G7" s="377"/>
      <c r="H7" s="377"/>
      <c r="I7" s="377"/>
      <c r="J7" s="378"/>
    </row>
    <row r="8" spans="1:10" ht="13.15" x14ac:dyDescent="0.4">
      <c r="A8" s="589" t="s">
        <v>159</v>
      </c>
      <c r="B8" s="590"/>
      <c r="C8" s="590"/>
      <c r="D8" s="601">
        <f>'1. ANNUAL USAGE '!E21*25</f>
        <v>13736000</v>
      </c>
      <c r="E8" s="601"/>
      <c r="F8" s="601"/>
      <c r="G8" s="379" t="s">
        <v>158</v>
      </c>
      <c r="H8" s="377"/>
      <c r="I8" s="377"/>
      <c r="J8" s="378"/>
    </row>
    <row r="9" spans="1:10" x14ac:dyDescent="0.35">
      <c r="A9" s="376"/>
      <c r="B9" s="377"/>
      <c r="C9" s="377"/>
      <c r="D9" s="377"/>
      <c r="E9" s="377"/>
      <c r="F9" s="377"/>
      <c r="G9" s="377"/>
      <c r="H9" s="377"/>
      <c r="I9" s="377"/>
      <c r="J9" s="378"/>
    </row>
    <row r="10" spans="1:10" ht="13.15" x14ac:dyDescent="0.4">
      <c r="A10" s="589" t="s">
        <v>160</v>
      </c>
      <c r="B10" s="590"/>
      <c r="C10" s="590"/>
      <c r="D10" s="591">
        <f>'1. ANNUAL USAGE '!C24</f>
        <v>0.14096192486895751</v>
      </c>
      <c r="E10" s="591"/>
      <c r="F10" s="591"/>
      <c r="G10" s="377"/>
      <c r="H10" s="377"/>
      <c r="I10" s="377"/>
      <c r="J10" s="378"/>
    </row>
    <row r="11" spans="1:10" x14ac:dyDescent="0.35">
      <c r="A11" s="376"/>
      <c r="B11" s="377"/>
      <c r="C11" s="377"/>
      <c r="D11" s="377"/>
      <c r="E11" s="377"/>
      <c r="F11" s="377"/>
      <c r="G11" s="377"/>
      <c r="H11" s="377"/>
      <c r="I11" s="377"/>
      <c r="J11" s="378"/>
    </row>
    <row r="12" spans="1:10" ht="13.15" x14ac:dyDescent="0.4">
      <c r="A12" s="589" t="s">
        <v>161</v>
      </c>
      <c r="B12" s="590"/>
      <c r="C12" s="590"/>
      <c r="D12" s="591">
        <f>'1. ANNUAL USAGE '!P42</f>
        <v>0.26876177439104781</v>
      </c>
      <c r="E12" s="591"/>
      <c r="F12" s="591"/>
      <c r="G12" s="377"/>
      <c r="H12" s="377"/>
      <c r="I12" s="377"/>
      <c r="J12" s="378"/>
    </row>
    <row r="13" spans="1:10" x14ac:dyDescent="0.35">
      <c r="A13" s="589" t="s">
        <v>162</v>
      </c>
      <c r="B13" s="590"/>
      <c r="C13" s="590"/>
      <c r="D13" s="377"/>
      <c r="E13" s="377"/>
      <c r="F13" s="377"/>
      <c r="G13" s="377"/>
      <c r="H13" s="377"/>
      <c r="I13" s="377"/>
      <c r="J13" s="378"/>
    </row>
    <row r="14" spans="1:10" x14ac:dyDescent="0.35">
      <c r="A14" s="376"/>
      <c r="B14" s="377"/>
      <c r="C14" s="377"/>
      <c r="D14" s="377"/>
      <c r="E14" s="377"/>
      <c r="F14" s="377"/>
      <c r="G14" s="377"/>
      <c r="H14" s="377"/>
      <c r="I14" s="377"/>
      <c r="J14" s="378"/>
    </row>
    <row r="15" spans="1:10" ht="13.15" x14ac:dyDescent="0.4">
      <c r="A15" s="589" t="s">
        <v>163</v>
      </c>
      <c r="B15" s="590"/>
      <c r="C15" s="590"/>
      <c r="D15" s="591">
        <f>D12*D8</f>
        <v>3691711.7330354326</v>
      </c>
      <c r="E15" s="592"/>
      <c r="F15" s="592"/>
      <c r="G15" s="377"/>
      <c r="H15" s="377"/>
      <c r="I15" s="377"/>
      <c r="J15" s="378"/>
    </row>
    <row r="16" spans="1:10" ht="13.15" thickBot="1" x14ac:dyDescent="0.4">
      <c r="A16" s="380"/>
      <c r="B16" s="381"/>
      <c r="C16" s="381"/>
      <c r="D16" s="381"/>
      <c r="E16" s="381"/>
      <c r="F16" s="381"/>
      <c r="G16" s="381"/>
      <c r="H16" s="381"/>
      <c r="I16" s="381"/>
      <c r="J16" s="382"/>
    </row>
    <row r="17" spans="1:10" ht="15.4" thickTop="1" x14ac:dyDescent="0.4">
      <c r="A17" s="602" t="s">
        <v>164</v>
      </c>
      <c r="B17" s="603"/>
      <c r="C17" s="603"/>
      <c r="D17" s="603"/>
      <c r="E17" s="603"/>
      <c r="F17" s="603"/>
      <c r="G17" s="603"/>
      <c r="H17" s="603"/>
      <c r="I17" s="603"/>
      <c r="J17" s="604"/>
    </row>
    <row r="18" spans="1:10" x14ac:dyDescent="0.35">
      <c r="A18" s="383"/>
      <c r="B18" s="384"/>
      <c r="C18" s="384"/>
      <c r="D18" s="384"/>
      <c r="E18" s="384"/>
      <c r="F18" s="384"/>
      <c r="G18" s="384"/>
      <c r="H18" s="384"/>
      <c r="I18" s="384"/>
      <c r="J18" s="385"/>
    </row>
    <row r="19" spans="1:10" ht="15" x14ac:dyDescent="0.4">
      <c r="A19" s="386">
        <f>'2. System Sizing'!B7</f>
        <v>450</v>
      </c>
      <c r="B19" s="605" t="s">
        <v>165</v>
      </c>
      <c r="C19" s="606"/>
      <c r="D19" s="387">
        <f>'1. ANNUAL USAGE '!G28</f>
        <v>0.72345917334582488</v>
      </c>
      <c r="E19" s="605" t="s">
        <v>166</v>
      </c>
      <c r="F19" s="606"/>
      <c r="G19" s="607">
        <f>'2. System Sizing'!B8</f>
        <v>990000.00000000012</v>
      </c>
      <c r="H19" s="607"/>
      <c r="I19" s="384"/>
      <c r="J19" s="385"/>
    </row>
    <row r="20" spans="1:10" x14ac:dyDescent="0.35">
      <c r="A20" s="383"/>
      <c r="B20" s="384"/>
      <c r="C20" s="384"/>
      <c r="D20" s="384"/>
      <c r="E20" s="384"/>
      <c r="F20" s="384"/>
      <c r="G20" s="384"/>
      <c r="H20" s="384"/>
      <c r="I20" s="384"/>
      <c r="J20" s="385"/>
    </row>
    <row r="21" spans="1:10" ht="13.15" x14ac:dyDescent="0.4">
      <c r="A21" s="383"/>
      <c r="B21" s="384"/>
      <c r="C21" s="384"/>
      <c r="D21" s="384"/>
      <c r="E21" s="605" t="s">
        <v>167</v>
      </c>
      <c r="F21" s="606"/>
      <c r="G21" s="607">
        <f>'2. System Sizing'!B9</f>
        <v>297000</v>
      </c>
      <c r="H21" s="607"/>
      <c r="I21" s="384"/>
      <c r="J21" s="385"/>
    </row>
    <row r="22" spans="1:10" ht="13.15" x14ac:dyDescent="0.4">
      <c r="A22" s="383"/>
      <c r="B22" s="384"/>
      <c r="C22" s="384"/>
      <c r="D22" s="384"/>
      <c r="E22" s="440"/>
      <c r="F22" s="441"/>
      <c r="G22" s="442"/>
      <c r="H22" s="442"/>
      <c r="I22" s="384"/>
      <c r="J22" s="385"/>
    </row>
    <row r="23" spans="1:10" ht="13.15" x14ac:dyDescent="0.4">
      <c r="A23" s="383"/>
      <c r="B23" s="384"/>
      <c r="C23" s="384"/>
      <c r="D23" s="384"/>
      <c r="E23" s="605" t="s">
        <v>190</v>
      </c>
      <c r="F23" s="606"/>
      <c r="G23" s="607">
        <f>'4. SC Quote'!I23</f>
        <v>35000</v>
      </c>
      <c r="H23" s="607"/>
      <c r="I23" s="384"/>
      <c r="J23" s="385"/>
    </row>
    <row r="24" spans="1:10" ht="13.15" x14ac:dyDescent="0.4">
      <c r="A24" s="383"/>
      <c r="B24" s="384"/>
      <c r="C24" s="384"/>
      <c r="D24" s="384"/>
      <c r="E24" s="440"/>
      <c r="F24" s="441"/>
      <c r="G24" s="442"/>
      <c r="H24" s="442"/>
      <c r="I24" s="384"/>
      <c r="J24" s="385"/>
    </row>
    <row r="25" spans="1:10" ht="13.15" x14ac:dyDescent="0.4">
      <c r="A25" s="383"/>
      <c r="B25" s="384"/>
      <c r="C25" s="384"/>
      <c r="D25" s="384"/>
      <c r="E25" s="605" t="s">
        <v>186</v>
      </c>
      <c r="F25" s="606"/>
      <c r="G25" s="607">
        <f>'7. SC Section 179 ROI'!J8+'7. SC Section 179 ROI'!J11</f>
        <v>287450</v>
      </c>
      <c r="H25" s="607"/>
      <c r="I25" s="384"/>
      <c r="J25" s="385"/>
    </row>
    <row r="26" spans="1:10" x14ac:dyDescent="0.35">
      <c r="A26" s="383"/>
      <c r="B26" s="384"/>
      <c r="C26" s="384"/>
      <c r="D26" s="384"/>
      <c r="E26" s="384"/>
      <c r="F26" s="384"/>
      <c r="G26" s="384"/>
      <c r="H26" s="384"/>
      <c r="I26" s="384"/>
      <c r="J26" s="385"/>
    </row>
    <row r="27" spans="1:10" ht="13.15" x14ac:dyDescent="0.4">
      <c r="A27" s="635" t="s">
        <v>168</v>
      </c>
      <c r="B27" s="636"/>
      <c r="C27" s="636"/>
      <c r="D27" s="636"/>
      <c r="E27" s="636"/>
      <c r="F27" s="636"/>
      <c r="G27" s="607">
        <f>G19-G21-G23-G25</f>
        <v>370550.00000000012</v>
      </c>
      <c r="H27" s="637"/>
      <c r="I27" s="384"/>
      <c r="J27" s="385"/>
    </row>
    <row r="28" spans="1:10" ht="13.15" thickBot="1" x14ac:dyDescent="0.4">
      <c r="A28" s="388"/>
      <c r="B28" s="389"/>
      <c r="C28" s="389"/>
      <c r="D28" s="389"/>
      <c r="E28" s="389"/>
      <c r="F28" s="389"/>
      <c r="G28" s="389"/>
      <c r="H28" s="389"/>
      <c r="I28" s="389"/>
      <c r="J28" s="390"/>
    </row>
    <row r="29" spans="1:10" ht="13.15" thickTop="1" x14ac:dyDescent="0.35">
      <c r="A29" s="391"/>
      <c r="B29" s="392"/>
      <c r="C29" s="392"/>
      <c r="D29" s="393"/>
      <c r="E29" s="394"/>
      <c r="F29" s="395"/>
      <c r="G29" s="396"/>
      <c r="H29" s="396"/>
      <c r="I29" s="396"/>
      <c r="J29" s="397"/>
    </row>
    <row r="30" spans="1:10" ht="18" thickBot="1" x14ac:dyDescent="0.55000000000000004">
      <c r="A30" s="638" t="s">
        <v>169</v>
      </c>
      <c r="B30" s="639"/>
      <c r="C30" s="639"/>
      <c r="D30" s="640"/>
      <c r="E30" s="398"/>
      <c r="F30" s="627" t="s">
        <v>170</v>
      </c>
      <c r="G30" s="628"/>
      <c r="H30" s="628"/>
      <c r="I30" s="628"/>
      <c r="J30" s="629"/>
    </row>
    <row r="31" spans="1:10" ht="13.15" thickTop="1" x14ac:dyDescent="0.35">
      <c r="A31" s="399"/>
      <c r="B31" s="400"/>
      <c r="C31" s="400"/>
      <c r="D31" s="401"/>
      <c r="E31" s="398"/>
      <c r="F31" s="402"/>
      <c r="G31" s="403"/>
      <c r="H31" s="403"/>
      <c r="I31" s="403"/>
      <c r="J31" s="404"/>
    </row>
    <row r="32" spans="1:10" ht="13.15" x14ac:dyDescent="0.4">
      <c r="A32" s="399"/>
      <c r="B32" s="405">
        <f>D8</f>
        <v>13736000</v>
      </c>
      <c r="C32" s="633" t="s">
        <v>171</v>
      </c>
      <c r="D32" s="634"/>
      <c r="E32" s="398"/>
      <c r="F32" s="402"/>
      <c r="G32" s="406">
        <f>D8</f>
        <v>13736000</v>
      </c>
      <c r="H32" s="630" t="s">
        <v>171</v>
      </c>
      <c r="I32" s="631"/>
      <c r="J32" s="632"/>
    </row>
    <row r="33" spans="1:10" x14ac:dyDescent="0.35">
      <c r="A33" s="399"/>
      <c r="B33" s="400"/>
      <c r="C33" s="400"/>
      <c r="D33" s="401"/>
      <c r="E33" s="398"/>
      <c r="F33" s="402"/>
      <c r="G33" s="403"/>
      <c r="H33" s="403"/>
      <c r="I33" s="403"/>
      <c r="J33" s="404"/>
    </row>
    <row r="34" spans="1:10" ht="13.15" x14ac:dyDescent="0.4">
      <c r="A34" s="399"/>
      <c r="B34" s="407">
        <f>D19</f>
        <v>0.72345917334582488</v>
      </c>
      <c r="C34" s="633" t="s">
        <v>172</v>
      </c>
      <c r="D34" s="634"/>
      <c r="E34" s="398"/>
      <c r="F34" s="402"/>
      <c r="G34" s="408">
        <f>B40/B32</f>
        <v>0.27654082665417518</v>
      </c>
      <c r="H34" s="641" t="s">
        <v>173</v>
      </c>
      <c r="I34" s="642"/>
      <c r="J34" s="643"/>
    </row>
    <row r="35" spans="1:10" x14ac:dyDescent="0.35">
      <c r="A35" s="399"/>
      <c r="B35" s="400"/>
      <c r="C35" s="400"/>
      <c r="D35" s="401"/>
      <c r="E35" s="398"/>
      <c r="F35" s="402"/>
      <c r="G35" s="409"/>
      <c r="H35" s="377"/>
      <c r="I35" s="377"/>
      <c r="J35" s="378"/>
    </row>
    <row r="36" spans="1:10" ht="13.15" x14ac:dyDescent="0.4">
      <c r="A36" s="399"/>
      <c r="B36" s="410">
        <f>B32*B34</f>
        <v>9937435.2050782498</v>
      </c>
      <c r="C36" s="633" t="s">
        <v>174</v>
      </c>
      <c r="D36" s="634"/>
      <c r="E36" s="398"/>
      <c r="F36" s="402"/>
      <c r="G36" s="411">
        <f>B40</f>
        <v>3798564.7949217502</v>
      </c>
      <c r="H36" s="644" t="s">
        <v>175</v>
      </c>
      <c r="I36" s="645"/>
      <c r="J36" s="646"/>
    </row>
    <row r="37" spans="1:10" x14ac:dyDescent="0.35">
      <c r="A37" s="399"/>
      <c r="B37" s="400"/>
      <c r="C37" s="400"/>
      <c r="D37" s="401"/>
      <c r="E37" s="398"/>
      <c r="F37" s="402"/>
      <c r="G37" s="403"/>
      <c r="H37" s="412"/>
      <c r="I37" s="412"/>
      <c r="J37" s="413"/>
    </row>
    <row r="38" spans="1:10" ht="13.15" x14ac:dyDescent="0.4">
      <c r="A38" s="399"/>
      <c r="B38" s="414">
        <f>G27</f>
        <v>370550.00000000012</v>
      </c>
      <c r="C38" s="633" t="s">
        <v>176</v>
      </c>
      <c r="D38" s="634"/>
      <c r="E38" s="398"/>
      <c r="F38" s="402"/>
      <c r="G38" s="403"/>
      <c r="H38" s="403"/>
      <c r="I38" s="403"/>
      <c r="J38" s="404"/>
    </row>
    <row r="39" spans="1:10" x14ac:dyDescent="0.35">
      <c r="A39" s="399"/>
      <c r="B39" s="400"/>
      <c r="C39" s="400"/>
      <c r="D39" s="401"/>
      <c r="E39" s="398"/>
      <c r="F39" s="402"/>
      <c r="G39" s="403"/>
      <c r="H39" s="403"/>
      <c r="I39" s="403"/>
      <c r="J39" s="404"/>
    </row>
    <row r="40" spans="1:10" ht="13.15" x14ac:dyDescent="0.4">
      <c r="A40" s="399"/>
      <c r="B40" s="410">
        <f>B32-B36</f>
        <v>3798564.7949217502</v>
      </c>
      <c r="C40" s="633" t="s">
        <v>175</v>
      </c>
      <c r="D40" s="634"/>
      <c r="E40" s="398"/>
      <c r="F40" s="402"/>
      <c r="G40" s="406">
        <f>D8</f>
        <v>13736000</v>
      </c>
      <c r="H40" s="630" t="s">
        <v>171</v>
      </c>
      <c r="I40" s="631"/>
      <c r="J40" s="632"/>
    </row>
    <row r="41" spans="1:10" ht="15" x14ac:dyDescent="0.4">
      <c r="A41" s="415" t="s">
        <v>177</v>
      </c>
      <c r="B41" s="414">
        <f>D12</f>
        <v>0.26876177439104781</v>
      </c>
      <c r="C41" s="416" t="s">
        <v>178</v>
      </c>
      <c r="D41" s="417">
        <f>B40*B41</f>
        <v>1020909.0144225362</v>
      </c>
      <c r="E41" s="398"/>
      <c r="F41" s="418" t="s">
        <v>177</v>
      </c>
      <c r="G41" s="419">
        <f>D12</f>
        <v>0.26876177439104781</v>
      </c>
      <c r="H41" s="420" t="s">
        <v>178</v>
      </c>
      <c r="I41" s="625">
        <f>D8*D12</f>
        <v>3691711.7330354326</v>
      </c>
      <c r="J41" s="626"/>
    </row>
    <row r="42" spans="1:10" x14ac:dyDescent="0.35">
      <c r="A42" s="399"/>
      <c r="B42" s="400"/>
      <c r="C42" s="421"/>
      <c r="D42" s="422"/>
      <c r="E42" s="398"/>
      <c r="F42" s="402"/>
      <c r="G42" s="403"/>
      <c r="H42" s="403"/>
      <c r="I42" s="403"/>
      <c r="J42" s="404"/>
    </row>
    <row r="43" spans="1:10" ht="15" x14ac:dyDescent="0.4">
      <c r="A43" s="608">
        <f>B38+D41</f>
        <v>1391459.0144225364</v>
      </c>
      <c r="B43" s="609"/>
      <c r="C43" s="423" t="s">
        <v>179</v>
      </c>
      <c r="D43" s="401"/>
      <c r="E43" s="398"/>
      <c r="F43" s="610">
        <f>I41</f>
        <v>3691711.7330354326</v>
      </c>
      <c r="G43" s="611"/>
      <c r="H43" s="612" t="s">
        <v>179</v>
      </c>
      <c r="I43" s="612"/>
      <c r="J43" s="613"/>
    </row>
    <row r="44" spans="1:10" ht="13.15" thickBot="1" x14ac:dyDescent="0.4">
      <c r="A44" s="424"/>
      <c r="B44" s="425"/>
      <c r="C44" s="425"/>
      <c r="D44" s="426"/>
      <c r="E44" s="372"/>
      <c r="F44" s="427"/>
      <c r="G44" s="428"/>
      <c r="H44" s="614"/>
      <c r="I44" s="614"/>
      <c r="J44" s="615"/>
    </row>
    <row r="45" spans="1:10" ht="15.4" thickTop="1" x14ac:dyDescent="0.4">
      <c r="A45" s="616" t="s">
        <v>180</v>
      </c>
      <c r="B45" s="617"/>
      <c r="C45" s="429"/>
      <c r="D45" s="429"/>
      <c r="E45" s="429"/>
      <c r="F45" s="430"/>
      <c r="G45" s="430"/>
      <c r="H45" s="430"/>
      <c r="I45" s="430"/>
      <c r="J45" s="431"/>
    </row>
    <row r="46" spans="1:10" ht="15" x14ac:dyDescent="0.4">
      <c r="A46" s="618"/>
      <c r="B46" s="619"/>
      <c r="C46" s="622">
        <f>F43</f>
        <v>3691711.7330354326</v>
      </c>
      <c r="D46" s="622"/>
      <c r="E46" s="622"/>
      <c r="F46" s="623" t="s">
        <v>181</v>
      </c>
      <c r="G46" s="623"/>
      <c r="H46" s="623"/>
      <c r="I46" s="623"/>
      <c r="J46" s="624"/>
    </row>
    <row r="47" spans="1:10" ht="15" x14ac:dyDescent="0.4">
      <c r="A47" s="618"/>
      <c r="B47" s="619"/>
      <c r="C47" s="429"/>
      <c r="D47" s="429"/>
      <c r="E47" s="429"/>
      <c r="F47" s="429"/>
      <c r="G47" s="429"/>
      <c r="H47" s="429"/>
      <c r="I47" s="429"/>
      <c r="J47" s="432"/>
    </row>
    <row r="48" spans="1:10" ht="15" x14ac:dyDescent="0.4">
      <c r="A48" s="618"/>
      <c r="B48" s="619"/>
      <c r="C48" s="622">
        <f>A43</f>
        <v>1391459.0144225364</v>
      </c>
      <c r="D48" s="622"/>
      <c r="E48" s="622"/>
      <c r="F48" s="623" t="s">
        <v>182</v>
      </c>
      <c r="G48" s="623"/>
      <c r="H48" s="623"/>
      <c r="I48" s="623"/>
      <c r="J48" s="624"/>
    </row>
    <row r="49" spans="1:10" ht="15" x14ac:dyDescent="0.4">
      <c r="A49" s="618"/>
      <c r="B49" s="619"/>
      <c r="C49" s="429"/>
      <c r="D49" s="429"/>
      <c r="E49" s="429"/>
      <c r="F49" s="429"/>
      <c r="G49" s="429"/>
      <c r="H49" s="429"/>
      <c r="I49" s="429"/>
      <c r="J49" s="432"/>
    </row>
    <row r="50" spans="1:10" ht="15" x14ac:dyDescent="0.4">
      <c r="A50" s="618"/>
      <c r="B50" s="619"/>
      <c r="C50" s="622">
        <f>C46-C48</f>
        <v>2300252.7186128963</v>
      </c>
      <c r="D50" s="622"/>
      <c r="E50" s="622"/>
      <c r="F50" s="623" t="s">
        <v>183</v>
      </c>
      <c r="G50" s="623"/>
      <c r="H50" s="623"/>
      <c r="I50" s="623"/>
      <c r="J50" s="624"/>
    </row>
    <row r="51" spans="1:10" ht="15" x14ac:dyDescent="0.4">
      <c r="A51" s="618"/>
      <c r="B51" s="619"/>
      <c r="C51" s="429"/>
      <c r="D51" s="429"/>
      <c r="E51" s="429"/>
      <c r="F51" s="429"/>
      <c r="G51" s="429"/>
      <c r="H51" s="429"/>
      <c r="I51" s="429"/>
      <c r="J51" s="432"/>
    </row>
    <row r="52" spans="1:10" ht="15" x14ac:dyDescent="0.4">
      <c r="A52" s="618"/>
      <c r="B52" s="619"/>
      <c r="C52" s="622">
        <f>C50/25</f>
        <v>92010.108744515848</v>
      </c>
      <c r="D52" s="622"/>
      <c r="E52" s="622"/>
      <c r="F52" s="623" t="s">
        <v>184</v>
      </c>
      <c r="G52" s="623"/>
      <c r="H52" s="623"/>
      <c r="I52" s="623"/>
      <c r="J52" s="624"/>
    </row>
    <row r="53" spans="1:10" ht="15" x14ac:dyDescent="0.4">
      <c r="A53" s="618"/>
      <c r="B53" s="619"/>
      <c r="C53" s="429"/>
      <c r="D53" s="429"/>
      <c r="E53" s="429"/>
      <c r="F53" s="429"/>
      <c r="G53" s="429"/>
      <c r="H53" s="429"/>
      <c r="I53" s="429"/>
      <c r="J53" s="432"/>
    </row>
    <row r="54" spans="1:10" ht="15" x14ac:dyDescent="0.4">
      <c r="A54" s="618"/>
      <c r="B54" s="619"/>
      <c r="C54" s="622">
        <f>C52/12</f>
        <v>7667.5090620429874</v>
      </c>
      <c r="D54" s="622"/>
      <c r="E54" s="622"/>
      <c r="F54" s="623" t="s">
        <v>185</v>
      </c>
      <c r="G54" s="623"/>
      <c r="H54" s="623"/>
      <c r="I54" s="623"/>
      <c r="J54" s="624"/>
    </row>
    <row r="55" spans="1:10" ht="15.4" thickBot="1" x14ac:dyDescent="0.45">
      <c r="A55" s="620"/>
      <c r="B55" s="621"/>
      <c r="C55" s="433"/>
      <c r="D55" s="433"/>
      <c r="E55" s="433"/>
      <c r="F55" s="434"/>
      <c r="G55" s="434"/>
      <c r="H55" s="434"/>
      <c r="I55" s="434"/>
      <c r="J55" s="435"/>
    </row>
    <row r="56" spans="1:10" ht="13.15" thickTop="1" x14ac:dyDescent="0.35"/>
  </sheetData>
  <mergeCells count="52">
    <mergeCell ref="C40:D40"/>
    <mergeCell ref="H40:J40"/>
    <mergeCell ref="A27:F27"/>
    <mergeCell ref="G27:H27"/>
    <mergeCell ref="A30:D30"/>
    <mergeCell ref="C34:D34"/>
    <mergeCell ref="H34:J34"/>
    <mergeCell ref="C36:D36"/>
    <mergeCell ref="H36:J36"/>
    <mergeCell ref="C38:D38"/>
    <mergeCell ref="C32:D32"/>
    <mergeCell ref="I41:J41"/>
    <mergeCell ref="E23:F23"/>
    <mergeCell ref="G23:H23"/>
    <mergeCell ref="E25:F25"/>
    <mergeCell ref="G25:H25"/>
    <mergeCell ref="F30:J30"/>
    <mergeCell ref="H32:J32"/>
    <mergeCell ref="A43:B43"/>
    <mergeCell ref="F43:G43"/>
    <mergeCell ref="H43:J43"/>
    <mergeCell ref="H44:J44"/>
    <mergeCell ref="A45:B55"/>
    <mergeCell ref="C46:E46"/>
    <mergeCell ref="F46:J46"/>
    <mergeCell ref="C48:E48"/>
    <mergeCell ref="F48:J48"/>
    <mergeCell ref="C52:E52"/>
    <mergeCell ref="F52:J52"/>
    <mergeCell ref="C54:E54"/>
    <mergeCell ref="F54:J54"/>
    <mergeCell ref="C50:E50"/>
    <mergeCell ref="F50:J50"/>
    <mergeCell ref="A17:J17"/>
    <mergeCell ref="B19:C19"/>
    <mergeCell ref="E19:F19"/>
    <mergeCell ref="G19:H19"/>
    <mergeCell ref="E21:F21"/>
    <mergeCell ref="G21:H21"/>
    <mergeCell ref="A15:C15"/>
    <mergeCell ref="D15:F15"/>
    <mergeCell ref="A2:C3"/>
    <mergeCell ref="D2:J3"/>
    <mergeCell ref="A6:C6"/>
    <mergeCell ref="D6:F6"/>
    <mergeCell ref="A8:C8"/>
    <mergeCell ref="D8:F8"/>
    <mergeCell ref="A10:C10"/>
    <mergeCell ref="D10:F10"/>
    <mergeCell ref="A12:C12"/>
    <mergeCell ref="D12:F12"/>
    <mergeCell ref="A13:C13"/>
  </mergeCells>
  <pageMargins left="0.7" right="0.7" top="0.75" bottom="0.75" header="0.3" footer="0.3"/>
  <pageSetup scale="82" orientation="portrait"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J55"/>
  <sheetViews>
    <sheetView topLeftCell="A7" zoomScale="90" zoomScaleNormal="90" workbookViewId="0">
      <selection activeCell="C47" sqref="C47:E47"/>
    </sheetView>
  </sheetViews>
  <sheetFormatPr defaultRowHeight="12.75" x14ac:dyDescent="0.35"/>
  <cols>
    <col min="2" max="2" width="11.33203125" customWidth="1"/>
    <col min="3" max="3" width="13.3984375" customWidth="1"/>
    <col min="4" max="4" width="15.19921875" customWidth="1"/>
    <col min="6" max="6" width="12.796875" customWidth="1"/>
    <col min="7" max="7" width="11" bestFit="1" customWidth="1"/>
    <col min="10" max="10" width="11.33203125" customWidth="1"/>
  </cols>
  <sheetData>
    <row r="1" spans="1:10" ht="70.900000000000006" customHeight="1" thickBot="1" x14ac:dyDescent="0.4">
      <c r="A1" s="372"/>
      <c r="B1" s="372"/>
      <c r="C1" s="372"/>
      <c r="D1" s="372"/>
      <c r="E1" s="372"/>
      <c r="F1" s="372"/>
      <c r="G1" s="372"/>
      <c r="H1" s="372"/>
      <c r="I1" s="372"/>
      <c r="J1" s="372"/>
    </row>
    <row r="2" spans="1:10" ht="13.15" thickTop="1" x14ac:dyDescent="0.35">
      <c r="A2" s="593" t="s">
        <v>156</v>
      </c>
      <c r="B2" s="594"/>
      <c r="C2" s="594"/>
      <c r="D2" s="596" t="str">
        <f>'1. ANNUAL USAGE '!C3</f>
        <v>Le Creuset of America, Inc.</v>
      </c>
      <c r="E2" s="596"/>
      <c r="F2" s="596"/>
      <c r="G2" s="596"/>
      <c r="H2" s="596"/>
      <c r="I2" s="596"/>
      <c r="J2" s="597"/>
    </row>
    <row r="3" spans="1:10" ht="13.15" thickBot="1" x14ac:dyDescent="0.4">
      <c r="A3" s="595"/>
      <c r="B3" s="590"/>
      <c r="C3" s="590"/>
      <c r="D3" s="598"/>
      <c r="E3" s="598"/>
      <c r="F3" s="598"/>
      <c r="G3" s="598"/>
      <c r="H3" s="598"/>
      <c r="I3" s="598"/>
      <c r="J3" s="599"/>
    </row>
    <row r="4" spans="1:10" ht="13.15" thickTop="1" x14ac:dyDescent="0.35">
      <c r="A4" s="373"/>
      <c r="B4" s="374"/>
      <c r="C4" s="374"/>
      <c r="D4" s="374"/>
      <c r="E4" s="374"/>
      <c r="F4" s="374"/>
      <c r="G4" s="374"/>
      <c r="H4" s="374"/>
      <c r="I4" s="374"/>
      <c r="J4" s="375"/>
    </row>
    <row r="5" spans="1:10" x14ac:dyDescent="0.35">
      <c r="A5" s="376"/>
      <c r="B5" s="377"/>
      <c r="C5" s="377"/>
      <c r="D5" s="377"/>
      <c r="E5" s="377"/>
      <c r="F5" s="377"/>
      <c r="G5" s="377"/>
      <c r="H5" s="377"/>
      <c r="I5" s="377"/>
      <c r="J5" s="378"/>
    </row>
    <row r="6" spans="1:10" ht="13.15" x14ac:dyDescent="0.4">
      <c r="A6" s="589" t="s">
        <v>157</v>
      </c>
      <c r="B6" s="590"/>
      <c r="C6" s="590"/>
      <c r="D6" s="600">
        <f>'1. ANNUAL USAGE '!E21</f>
        <v>549440</v>
      </c>
      <c r="E6" s="600"/>
      <c r="F6" s="600"/>
      <c r="G6" s="379" t="s">
        <v>158</v>
      </c>
      <c r="H6" s="377"/>
      <c r="I6" s="377"/>
      <c r="J6" s="378"/>
    </row>
    <row r="7" spans="1:10" x14ac:dyDescent="0.35">
      <c r="A7" s="376"/>
      <c r="B7" s="377"/>
      <c r="C7" s="377"/>
      <c r="D7" s="377"/>
      <c r="E7" s="377"/>
      <c r="F7" s="377"/>
      <c r="G7" s="377"/>
      <c r="H7" s="377"/>
      <c r="I7" s="377"/>
      <c r="J7" s="378"/>
    </row>
    <row r="8" spans="1:10" ht="13.15" x14ac:dyDescent="0.4">
      <c r="A8" s="589" t="s">
        <v>159</v>
      </c>
      <c r="B8" s="590"/>
      <c r="C8" s="590"/>
      <c r="D8" s="601">
        <f>'1. ANNUAL USAGE '!E21*25</f>
        <v>13736000</v>
      </c>
      <c r="E8" s="601"/>
      <c r="F8" s="601"/>
      <c r="G8" s="379" t="s">
        <v>158</v>
      </c>
      <c r="H8" s="377"/>
      <c r="I8" s="377"/>
      <c r="J8" s="378"/>
    </row>
    <row r="9" spans="1:10" x14ac:dyDescent="0.35">
      <c r="A9" s="376"/>
      <c r="B9" s="377"/>
      <c r="C9" s="377"/>
      <c r="D9" s="377"/>
      <c r="E9" s="377"/>
      <c r="F9" s="377"/>
      <c r="G9" s="377"/>
      <c r="H9" s="377"/>
      <c r="I9" s="377"/>
      <c r="J9" s="378"/>
    </row>
    <row r="10" spans="1:10" ht="13.15" x14ac:dyDescent="0.4">
      <c r="A10" s="589" t="s">
        <v>160</v>
      </c>
      <c r="B10" s="590"/>
      <c r="C10" s="590"/>
      <c r="D10" s="591">
        <f>'1. ANNUAL USAGE '!C24</f>
        <v>0.14096192486895751</v>
      </c>
      <c r="E10" s="591"/>
      <c r="F10" s="591"/>
      <c r="G10" s="377"/>
      <c r="H10" s="377"/>
      <c r="I10" s="377"/>
      <c r="J10" s="378"/>
    </row>
    <row r="11" spans="1:10" x14ac:dyDescent="0.35">
      <c r="A11" s="376"/>
      <c r="B11" s="377"/>
      <c r="C11" s="377"/>
      <c r="D11" s="377"/>
      <c r="E11" s="377"/>
      <c r="F11" s="377"/>
      <c r="G11" s="377"/>
      <c r="H11" s="377"/>
      <c r="I11" s="377"/>
      <c r="J11" s="378"/>
    </row>
    <row r="12" spans="1:10" ht="13.15" x14ac:dyDescent="0.4">
      <c r="A12" s="589" t="s">
        <v>161</v>
      </c>
      <c r="B12" s="590"/>
      <c r="C12" s="590"/>
      <c r="D12" s="591">
        <f>'1. ANNUAL USAGE '!P42</f>
        <v>0.26876177439104781</v>
      </c>
      <c r="E12" s="591"/>
      <c r="F12" s="591"/>
      <c r="G12" s="377"/>
      <c r="H12" s="377"/>
      <c r="I12" s="377"/>
      <c r="J12" s="378"/>
    </row>
    <row r="13" spans="1:10" x14ac:dyDescent="0.35">
      <c r="A13" s="589" t="s">
        <v>162</v>
      </c>
      <c r="B13" s="590"/>
      <c r="C13" s="590"/>
      <c r="D13" s="377"/>
      <c r="E13" s="377"/>
      <c r="F13" s="377"/>
      <c r="G13" s="377"/>
      <c r="H13" s="377"/>
      <c r="I13" s="377"/>
      <c r="J13" s="378"/>
    </row>
    <row r="14" spans="1:10" x14ac:dyDescent="0.35">
      <c r="A14" s="376"/>
      <c r="B14" s="377"/>
      <c r="C14" s="377"/>
      <c r="D14" s="377"/>
      <c r="E14" s="377"/>
      <c r="F14" s="377"/>
      <c r="G14" s="377"/>
      <c r="H14" s="377"/>
      <c r="I14" s="377"/>
      <c r="J14" s="378"/>
    </row>
    <row r="15" spans="1:10" ht="13.15" x14ac:dyDescent="0.4">
      <c r="A15" s="589" t="s">
        <v>163</v>
      </c>
      <c r="B15" s="590"/>
      <c r="C15" s="590"/>
      <c r="D15" s="591">
        <f>D12*D8</f>
        <v>3691711.7330354326</v>
      </c>
      <c r="E15" s="592"/>
      <c r="F15" s="592"/>
      <c r="G15" s="377"/>
      <c r="H15" s="377"/>
      <c r="I15" s="377"/>
      <c r="J15" s="378"/>
    </row>
    <row r="16" spans="1:10" ht="13.15" thickBot="1" x14ac:dyDescent="0.4">
      <c r="A16" s="380"/>
      <c r="B16" s="381"/>
      <c r="C16" s="381"/>
      <c r="D16" s="381"/>
      <c r="E16" s="381"/>
      <c r="F16" s="381"/>
      <c r="G16" s="381"/>
      <c r="H16" s="381"/>
      <c r="I16" s="381"/>
      <c r="J16" s="382"/>
    </row>
    <row r="17" spans="1:10" ht="15.4" thickTop="1" x14ac:dyDescent="0.4">
      <c r="A17" s="602" t="s">
        <v>164</v>
      </c>
      <c r="B17" s="603"/>
      <c r="C17" s="603"/>
      <c r="D17" s="603"/>
      <c r="E17" s="603"/>
      <c r="F17" s="603"/>
      <c r="G17" s="603"/>
      <c r="H17" s="603"/>
      <c r="I17" s="603"/>
      <c r="J17" s="604"/>
    </row>
    <row r="18" spans="1:10" x14ac:dyDescent="0.35">
      <c r="A18" s="383"/>
      <c r="B18" s="384"/>
      <c r="C18" s="384"/>
      <c r="D18" s="384"/>
      <c r="E18" s="384"/>
      <c r="F18" s="384"/>
      <c r="G18" s="384"/>
      <c r="H18" s="384"/>
      <c r="I18" s="384"/>
      <c r="J18" s="385"/>
    </row>
    <row r="19" spans="1:10" ht="15" x14ac:dyDescent="0.4">
      <c r="A19" s="386">
        <f>'2. System Sizing'!B7</f>
        <v>450</v>
      </c>
      <c r="B19" s="605" t="s">
        <v>165</v>
      </c>
      <c r="C19" s="606"/>
      <c r="D19" s="387">
        <f>'1. ANNUAL USAGE '!G28</f>
        <v>0.72345917334582488</v>
      </c>
      <c r="E19" s="605" t="s">
        <v>166</v>
      </c>
      <c r="F19" s="606"/>
      <c r="G19" s="607">
        <f>'2. System Sizing'!B8</f>
        <v>990000.00000000012</v>
      </c>
      <c r="H19" s="607"/>
      <c r="I19" s="384"/>
      <c r="J19" s="385"/>
    </row>
    <row r="20" spans="1:10" x14ac:dyDescent="0.35">
      <c r="A20" s="383"/>
      <c r="B20" s="384"/>
      <c r="C20" s="384"/>
      <c r="D20" s="384"/>
      <c r="E20" s="384"/>
      <c r="F20" s="384"/>
      <c r="G20" s="384"/>
      <c r="H20" s="384"/>
      <c r="I20" s="384"/>
      <c r="J20" s="385"/>
    </row>
    <row r="21" spans="1:10" ht="13.15" x14ac:dyDescent="0.4">
      <c r="A21" s="383"/>
      <c r="B21" s="384"/>
      <c r="C21" s="384"/>
      <c r="D21" s="384"/>
      <c r="E21" s="605" t="s">
        <v>167</v>
      </c>
      <c r="F21" s="606"/>
      <c r="G21" s="607">
        <f>'2. System Sizing'!B9</f>
        <v>297000</v>
      </c>
      <c r="H21" s="607"/>
      <c r="I21" s="384"/>
      <c r="J21" s="385"/>
    </row>
    <row r="22" spans="1:10" ht="13.15" x14ac:dyDescent="0.4">
      <c r="A22" s="383"/>
      <c r="B22" s="384"/>
      <c r="C22" s="384"/>
      <c r="D22" s="384"/>
      <c r="E22" s="440"/>
      <c r="F22" s="441"/>
      <c r="G22" s="442"/>
      <c r="H22" s="442"/>
      <c r="I22" s="384"/>
      <c r="J22" s="385"/>
    </row>
    <row r="23" spans="1:10" ht="13.15" x14ac:dyDescent="0.4">
      <c r="A23" s="383"/>
      <c r="B23" s="384"/>
      <c r="C23" s="384"/>
      <c r="D23" s="384"/>
      <c r="E23" s="605" t="s">
        <v>190</v>
      </c>
      <c r="F23" s="606"/>
      <c r="G23" s="607">
        <f>'4. SC Quote'!I23</f>
        <v>35000</v>
      </c>
      <c r="H23" s="607"/>
      <c r="I23" s="384"/>
      <c r="J23" s="385"/>
    </row>
    <row r="24" spans="1:10" ht="13.15" x14ac:dyDescent="0.4">
      <c r="A24" s="383"/>
      <c r="B24" s="384"/>
      <c r="C24" s="384"/>
      <c r="D24" s="384"/>
      <c r="E24" s="440"/>
      <c r="F24" s="441"/>
      <c r="G24" s="442"/>
      <c r="H24" s="442"/>
      <c r="I24" s="384"/>
      <c r="J24" s="385"/>
    </row>
    <row r="25" spans="1:10" x14ac:dyDescent="0.35">
      <c r="A25" s="383"/>
      <c r="B25" s="384"/>
      <c r="C25" s="384"/>
      <c r="D25" s="384"/>
      <c r="E25" s="384"/>
      <c r="F25" s="384"/>
      <c r="G25" s="384"/>
      <c r="H25" s="384"/>
      <c r="I25" s="384"/>
      <c r="J25" s="385"/>
    </row>
    <row r="26" spans="1:10" ht="13.15" x14ac:dyDescent="0.4">
      <c r="A26" s="635" t="s">
        <v>168</v>
      </c>
      <c r="B26" s="636"/>
      <c r="C26" s="636"/>
      <c r="D26" s="636"/>
      <c r="E26" s="636"/>
      <c r="F26" s="636"/>
      <c r="G26" s="607">
        <f>G19-G21-G23</f>
        <v>658000.00000000012</v>
      </c>
      <c r="H26" s="637"/>
      <c r="I26" s="384"/>
      <c r="J26" s="385"/>
    </row>
    <row r="27" spans="1:10" ht="13.15" thickBot="1" x14ac:dyDescent="0.4">
      <c r="A27" s="388"/>
      <c r="B27" s="389"/>
      <c r="C27" s="389"/>
      <c r="D27" s="389"/>
      <c r="E27" s="389"/>
      <c r="F27" s="389"/>
      <c r="G27" s="389"/>
      <c r="H27" s="389"/>
      <c r="I27" s="389"/>
      <c r="J27" s="390"/>
    </row>
    <row r="28" spans="1:10" ht="13.15" thickTop="1" x14ac:dyDescent="0.35">
      <c r="A28" s="391"/>
      <c r="B28" s="392"/>
      <c r="C28" s="392"/>
      <c r="D28" s="393"/>
      <c r="E28" s="394"/>
      <c r="F28" s="395"/>
      <c r="G28" s="396"/>
      <c r="H28" s="396"/>
      <c r="I28" s="396"/>
      <c r="J28" s="397"/>
    </row>
    <row r="29" spans="1:10" ht="18" thickBot="1" x14ac:dyDescent="0.55000000000000004">
      <c r="A29" s="638" t="s">
        <v>169</v>
      </c>
      <c r="B29" s="639"/>
      <c r="C29" s="639"/>
      <c r="D29" s="640"/>
      <c r="E29" s="398"/>
      <c r="F29" s="627" t="s">
        <v>170</v>
      </c>
      <c r="G29" s="628"/>
      <c r="H29" s="628"/>
      <c r="I29" s="628"/>
      <c r="J29" s="629"/>
    </row>
    <row r="30" spans="1:10" ht="13.15" thickTop="1" x14ac:dyDescent="0.35">
      <c r="A30" s="399"/>
      <c r="B30" s="400"/>
      <c r="C30" s="400"/>
      <c r="D30" s="401"/>
      <c r="E30" s="398"/>
      <c r="F30" s="402"/>
      <c r="G30" s="403"/>
      <c r="H30" s="403"/>
      <c r="I30" s="403"/>
      <c r="J30" s="404"/>
    </row>
    <row r="31" spans="1:10" ht="13.15" x14ac:dyDescent="0.4">
      <c r="A31" s="399"/>
      <c r="B31" s="405">
        <f>D8</f>
        <v>13736000</v>
      </c>
      <c r="C31" s="633" t="s">
        <v>171</v>
      </c>
      <c r="D31" s="634"/>
      <c r="E31" s="398"/>
      <c r="F31" s="402"/>
      <c r="G31" s="406">
        <f>D8</f>
        <v>13736000</v>
      </c>
      <c r="H31" s="630" t="s">
        <v>171</v>
      </c>
      <c r="I31" s="631"/>
      <c r="J31" s="632"/>
    </row>
    <row r="32" spans="1:10" x14ac:dyDescent="0.35">
      <c r="A32" s="399"/>
      <c r="B32" s="400"/>
      <c r="C32" s="400"/>
      <c r="D32" s="401"/>
      <c r="E32" s="398"/>
      <c r="F32" s="402"/>
      <c r="G32" s="403"/>
      <c r="H32" s="403"/>
      <c r="I32" s="403"/>
      <c r="J32" s="404"/>
    </row>
    <row r="33" spans="1:10" ht="13.15" x14ac:dyDescent="0.4">
      <c r="A33" s="399"/>
      <c r="B33" s="407">
        <f>D19</f>
        <v>0.72345917334582488</v>
      </c>
      <c r="C33" s="633" t="s">
        <v>172</v>
      </c>
      <c r="D33" s="634"/>
      <c r="E33" s="398"/>
      <c r="F33" s="402"/>
      <c r="G33" s="408">
        <f>B39/B31</f>
        <v>0.27654082665417518</v>
      </c>
      <c r="H33" s="641" t="s">
        <v>173</v>
      </c>
      <c r="I33" s="642"/>
      <c r="J33" s="643"/>
    </row>
    <row r="34" spans="1:10" x14ac:dyDescent="0.35">
      <c r="A34" s="399"/>
      <c r="B34" s="400"/>
      <c r="C34" s="400"/>
      <c r="D34" s="401"/>
      <c r="E34" s="398"/>
      <c r="F34" s="402"/>
      <c r="G34" s="409"/>
      <c r="H34" s="377"/>
      <c r="I34" s="377"/>
      <c r="J34" s="378"/>
    </row>
    <row r="35" spans="1:10" ht="13.15" x14ac:dyDescent="0.4">
      <c r="A35" s="399"/>
      <c r="B35" s="410">
        <f>B31*B33</f>
        <v>9937435.2050782498</v>
      </c>
      <c r="C35" s="633" t="s">
        <v>174</v>
      </c>
      <c r="D35" s="634"/>
      <c r="E35" s="398"/>
      <c r="F35" s="402"/>
      <c r="G35" s="411">
        <f>B39</f>
        <v>3798564.7949217502</v>
      </c>
      <c r="H35" s="644" t="s">
        <v>175</v>
      </c>
      <c r="I35" s="645"/>
      <c r="J35" s="646"/>
    </row>
    <row r="36" spans="1:10" x14ac:dyDescent="0.35">
      <c r="A36" s="399"/>
      <c r="B36" s="400"/>
      <c r="C36" s="400"/>
      <c r="D36" s="401"/>
      <c r="E36" s="398"/>
      <c r="F36" s="402"/>
      <c r="G36" s="403"/>
      <c r="H36" s="412"/>
      <c r="I36" s="412"/>
      <c r="J36" s="413"/>
    </row>
    <row r="37" spans="1:10" ht="13.15" x14ac:dyDescent="0.4">
      <c r="A37" s="399"/>
      <c r="B37" s="414">
        <f>G26</f>
        <v>658000.00000000012</v>
      </c>
      <c r="C37" s="633" t="s">
        <v>176</v>
      </c>
      <c r="D37" s="634"/>
      <c r="E37" s="398"/>
      <c r="F37" s="402"/>
      <c r="G37" s="403"/>
      <c r="H37" s="403"/>
      <c r="I37" s="403"/>
      <c r="J37" s="404"/>
    </row>
    <row r="38" spans="1:10" x14ac:dyDescent="0.35">
      <c r="A38" s="399"/>
      <c r="B38" s="400"/>
      <c r="C38" s="400"/>
      <c r="D38" s="401"/>
      <c r="E38" s="398"/>
      <c r="F38" s="402"/>
      <c r="G38" s="403"/>
      <c r="H38" s="403"/>
      <c r="I38" s="403"/>
      <c r="J38" s="404"/>
    </row>
    <row r="39" spans="1:10" ht="13.15" x14ac:dyDescent="0.4">
      <c r="A39" s="399"/>
      <c r="B39" s="410">
        <f>B31-B35</f>
        <v>3798564.7949217502</v>
      </c>
      <c r="C39" s="633" t="s">
        <v>175</v>
      </c>
      <c r="D39" s="634"/>
      <c r="E39" s="398"/>
      <c r="F39" s="402"/>
      <c r="G39" s="406">
        <f>D8</f>
        <v>13736000</v>
      </c>
      <c r="H39" s="630" t="s">
        <v>171</v>
      </c>
      <c r="I39" s="631"/>
      <c r="J39" s="632"/>
    </row>
    <row r="40" spans="1:10" ht="15" x14ac:dyDescent="0.4">
      <c r="A40" s="415" t="s">
        <v>177</v>
      </c>
      <c r="B40" s="414">
        <f>D12</f>
        <v>0.26876177439104781</v>
      </c>
      <c r="C40" s="416" t="s">
        <v>178</v>
      </c>
      <c r="D40" s="417">
        <f>B39*B40</f>
        <v>1020909.0144225362</v>
      </c>
      <c r="E40" s="398"/>
      <c r="F40" s="418" t="s">
        <v>177</v>
      </c>
      <c r="G40" s="419">
        <f>D12</f>
        <v>0.26876177439104781</v>
      </c>
      <c r="H40" s="420" t="s">
        <v>178</v>
      </c>
      <c r="I40" s="625">
        <f>D8*D12</f>
        <v>3691711.7330354326</v>
      </c>
      <c r="J40" s="626"/>
    </row>
    <row r="41" spans="1:10" x14ac:dyDescent="0.35">
      <c r="A41" s="399"/>
      <c r="B41" s="400"/>
      <c r="C41" s="421"/>
      <c r="D41" s="422"/>
      <c r="E41" s="398"/>
      <c r="F41" s="402"/>
      <c r="G41" s="403"/>
      <c r="H41" s="403"/>
      <c r="I41" s="403"/>
      <c r="J41" s="404"/>
    </row>
    <row r="42" spans="1:10" ht="15" x14ac:dyDescent="0.4">
      <c r="A42" s="608">
        <f>B37+D40</f>
        <v>1678909.0144225364</v>
      </c>
      <c r="B42" s="609"/>
      <c r="C42" s="423" t="s">
        <v>179</v>
      </c>
      <c r="D42" s="401"/>
      <c r="E42" s="398"/>
      <c r="F42" s="610">
        <f>I40</f>
        <v>3691711.7330354326</v>
      </c>
      <c r="G42" s="611"/>
      <c r="H42" s="612" t="s">
        <v>179</v>
      </c>
      <c r="I42" s="612"/>
      <c r="J42" s="613"/>
    </row>
    <row r="43" spans="1:10" ht="13.15" thickBot="1" x14ac:dyDescent="0.4">
      <c r="A43" s="424"/>
      <c r="B43" s="425"/>
      <c r="C43" s="425"/>
      <c r="D43" s="426"/>
      <c r="E43" s="372"/>
      <c r="F43" s="427"/>
      <c r="G43" s="428"/>
      <c r="H43" s="614"/>
      <c r="I43" s="614"/>
      <c r="J43" s="615"/>
    </row>
    <row r="44" spans="1:10" ht="15.4" thickTop="1" x14ac:dyDescent="0.4">
      <c r="A44" s="616" t="s">
        <v>180</v>
      </c>
      <c r="B44" s="617"/>
      <c r="C44" s="429"/>
      <c r="D44" s="429"/>
      <c r="E44" s="429"/>
      <c r="F44" s="430"/>
      <c r="G44" s="430"/>
      <c r="H44" s="430"/>
      <c r="I44" s="430"/>
      <c r="J44" s="431"/>
    </row>
    <row r="45" spans="1:10" ht="15" x14ac:dyDescent="0.4">
      <c r="A45" s="618"/>
      <c r="B45" s="619"/>
      <c r="C45" s="622">
        <f>F42</f>
        <v>3691711.7330354326</v>
      </c>
      <c r="D45" s="622"/>
      <c r="E45" s="622"/>
      <c r="F45" s="623" t="s">
        <v>181</v>
      </c>
      <c r="G45" s="623"/>
      <c r="H45" s="623"/>
      <c r="I45" s="623"/>
      <c r="J45" s="624"/>
    </row>
    <row r="46" spans="1:10" ht="15" x14ac:dyDescent="0.4">
      <c r="A46" s="618"/>
      <c r="B46" s="619"/>
      <c r="C46" s="429"/>
      <c r="D46" s="429"/>
      <c r="E46" s="429"/>
      <c r="F46" s="429"/>
      <c r="G46" s="429"/>
      <c r="H46" s="429"/>
      <c r="I46" s="429"/>
      <c r="J46" s="432"/>
    </row>
    <row r="47" spans="1:10" ht="15" x14ac:dyDescent="0.4">
      <c r="A47" s="618"/>
      <c r="B47" s="619"/>
      <c r="C47" s="622">
        <f>A42</f>
        <v>1678909.0144225364</v>
      </c>
      <c r="D47" s="622"/>
      <c r="E47" s="622"/>
      <c r="F47" s="623" t="s">
        <v>182</v>
      </c>
      <c r="G47" s="623"/>
      <c r="H47" s="623"/>
      <c r="I47" s="623"/>
      <c r="J47" s="624"/>
    </row>
    <row r="48" spans="1:10" ht="15" x14ac:dyDescent="0.4">
      <c r="A48" s="618"/>
      <c r="B48" s="619"/>
      <c r="C48" s="429"/>
      <c r="D48" s="429"/>
      <c r="E48" s="429"/>
      <c r="F48" s="429"/>
      <c r="G48" s="429"/>
      <c r="H48" s="429"/>
      <c r="I48" s="429"/>
      <c r="J48" s="432"/>
    </row>
    <row r="49" spans="1:10" ht="15" x14ac:dyDescent="0.4">
      <c r="A49" s="618"/>
      <c r="B49" s="619"/>
      <c r="C49" s="622">
        <f>C45-C47</f>
        <v>2012802.7186128963</v>
      </c>
      <c r="D49" s="622"/>
      <c r="E49" s="622"/>
      <c r="F49" s="623" t="s">
        <v>183</v>
      </c>
      <c r="G49" s="623"/>
      <c r="H49" s="623"/>
      <c r="I49" s="623"/>
      <c r="J49" s="624"/>
    </row>
    <row r="50" spans="1:10" ht="15" x14ac:dyDescent="0.4">
      <c r="A50" s="618"/>
      <c r="B50" s="619"/>
      <c r="C50" s="429"/>
      <c r="D50" s="429"/>
      <c r="E50" s="429"/>
      <c r="F50" s="429"/>
      <c r="G50" s="429"/>
      <c r="H50" s="429"/>
      <c r="I50" s="429"/>
      <c r="J50" s="432"/>
    </row>
    <row r="51" spans="1:10" ht="15" x14ac:dyDescent="0.4">
      <c r="A51" s="618"/>
      <c r="B51" s="619"/>
      <c r="C51" s="622">
        <f>C49/25</f>
        <v>80512.108744515848</v>
      </c>
      <c r="D51" s="622"/>
      <c r="E51" s="622"/>
      <c r="F51" s="623" t="s">
        <v>184</v>
      </c>
      <c r="G51" s="623"/>
      <c r="H51" s="623"/>
      <c r="I51" s="623"/>
      <c r="J51" s="624"/>
    </row>
    <row r="52" spans="1:10" ht="15" x14ac:dyDescent="0.4">
      <c r="A52" s="618"/>
      <c r="B52" s="619"/>
      <c r="C52" s="429"/>
      <c r="D52" s="429"/>
      <c r="E52" s="429"/>
      <c r="F52" s="429"/>
      <c r="G52" s="429"/>
      <c r="H52" s="429"/>
      <c r="I52" s="429"/>
      <c r="J52" s="432"/>
    </row>
    <row r="53" spans="1:10" ht="15" x14ac:dyDescent="0.4">
      <c r="A53" s="618"/>
      <c r="B53" s="619"/>
      <c r="C53" s="622">
        <f>C51/12</f>
        <v>6709.3423953763204</v>
      </c>
      <c r="D53" s="622"/>
      <c r="E53" s="622"/>
      <c r="F53" s="623" t="s">
        <v>185</v>
      </c>
      <c r="G53" s="623"/>
      <c r="H53" s="623"/>
      <c r="I53" s="623"/>
      <c r="J53" s="624"/>
    </row>
    <row r="54" spans="1:10" ht="15.4" thickBot="1" x14ac:dyDescent="0.45">
      <c r="A54" s="620"/>
      <c r="B54" s="621"/>
      <c r="C54" s="433"/>
      <c r="D54" s="433"/>
      <c r="E54" s="433"/>
      <c r="F54" s="434"/>
      <c r="G54" s="434"/>
      <c r="H54" s="434"/>
      <c r="I54" s="434"/>
      <c r="J54" s="435"/>
    </row>
    <row r="55" spans="1:10" ht="13.15" thickTop="1" x14ac:dyDescent="0.35"/>
  </sheetData>
  <mergeCells count="50">
    <mergeCell ref="A42:B42"/>
    <mergeCell ref="F42:G42"/>
    <mergeCell ref="H42:J42"/>
    <mergeCell ref="H43:J43"/>
    <mergeCell ref="A44:B54"/>
    <mergeCell ref="C45:E45"/>
    <mergeCell ref="F45:J45"/>
    <mergeCell ref="C47:E47"/>
    <mergeCell ref="F47:J47"/>
    <mergeCell ref="C49:E49"/>
    <mergeCell ref="F49:J49"/>
    <mergeCell ref="C51:E51"/>
    <mergeCell ref="F51:J51"/>
    <mergeCell ref="C53:E53"/>
    <mergeCell ref="F53:J53"/>
    <mergeCell ref="I40:J40"/>
    <mergeCell ref="A29:D29"/>
    <mergeCell ref="F29:J29"/>
    <mergeCell ref="C31:D31"/>
    <mergeCell ref="H31:J31"/>
    <mergeCell ref="C33:D33"/>
    <mergeCell ref="H33:J33"/>
    <mergeCell ref="C35:D35"/>
    <mergeCell ref="H35:J35"/>
    <mergeCell ref="C37:D37"/>
    <mergeCell ref="C39:D39"/>
    <mergeCell ref="H39:J39"/>
    <mergeCell ref="E23:F23"/>
    <mergeCell ref="G23:H23"/>
    <mergeCell ref="A26:F26"/>
    <mergeCell ref="G26:H26"/>
    <mergeCell ref="A17:J17"/>
    <mergeCell ref="B19:C19"/>
    <mergeCell ref="E19:F19"/>
    <mergeCell ref="G19:H19"/>
    <mergeCell ref="E21:F21"/>
    <mergeCell ref="G21:H21"/>
    <mergeCell ref="A15:C15"/>
    <mergeCell ref="D15:F15"/>
    <mergeCell ref="A2:C3"/>
    <mergeCell ref="D2:J3"/>
    <mergeCell ref="A6:C6"/>
    <mergeCell ref="D6:F6"/>
    <mergeCell ref="A8:C8"/>
    <mergeCell ref="D8:F8"/>
    <mergeCell ref="A10:C10"/>
    <mergeCell ref="D10:F10"/>
    <mergeCell ref="A12:C12"/>
    <mergeCell ref="D12:F12"/>
    <mergeCell ref="A13:C13"/>
  </mergeCells>
  <pageMargins left="0.7" right="0.7" top="0.75" bottom="0.75" header="0.3" footer="0.3"/>
  <pageSetup scale="83"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1. ANNUAL USAGE </vt:lpstr>
      <vt:lpstr>2. System Sizing</vt:lpstr>
      <vt:lpstr>3. Pre-Post Solar Costs</vt:lpstr>
      <vt:lpstr>4. SC Quote</vt:lpstr>
      <vt:lpstr>5. SC Resi ROI</vt:lpstr>
      <vt:lpstr>6. SC Commercial ROI</vt:lpstr>
      <vt:lpstr>7. SC Section 179 ROI</vt:lpstr>
      <vt:lpstr>Commerical Solar Savings</vt:lpstr>
      <vt:lpstr>Residential Solar Savings </vt:lpstr>
      <vt:lpstr>8. SC Commercial ROI with Grant</vt:lpstr>
      <vt:lpstr>12.15 YEAR COMMERICAL</vt:lpstr>
      <vt:lpstr>'1. ANNUAL USAGE '!Print_Area</vt:lpstr>
      <vt:lpstr>'12.15 YEAR COMMERICAL'!Print_Area</vt:lpstr>
      <vt:lpstr>'2. System Sizing'!Print_Area</vt:lpstr>
      <vt:lpstr>'3. Pre-Post Solar Costs'!Print_Area</vt:lpstr>
      <vt:lpstr>'4. SC Quote'!Print_Area</vt:lpstr>
      <vt:lpstr>'5. SC Resi ROI'!Print_Area</vt:lpstr>
      <vt:lpstr>'6. SC Commercial ROI'!Print_Area</vt:lpstr>
      <vt:lpstr>'7. SC Section 179 ROI'!Print_Area</vt:lpstr>
      <vt:lpstr>'8. SC Commercial ROI with Grant'!Print_Area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Suzanne</dc:creator>
  <cp:lastModifiedBy>Mike Croft</cp:lastModifiedBy>
  <cp:lastPrinted>2019-01-21T21:27:53Z</cp:lastPrinted>
  <dcterms:created xsi:type="dcterms:W3CDTF">2015-09-23T12:38:43Z</dcterms:created>
  <dcterms:modified xsi:type="dcterms:W3CDTF">2019-01-21T21:28:08Z</dcterms:modified>
</cp:coreProperties>
</file>